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g05600\HCP\Skrivbord\"/>
    </mc:Choice>
  </mc:AlternateContent>
  <xr:revisionPtr revIDLastSave="0" documentId="8_{C962178D-4A38-4371-9490-D45A188C534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iljögifter_fisk_2010-2024" sheetId="2" r:id="rId1"/>
    <sheet name="mg_fisk_2010-2024 (bearbetad)" sheetId="4" r:id="rId2"/>
  </sheets>
  <definedNames>
    <definedName name="_xlnm._FilterDatabase" localSheetId="1" hidden="1">'mg_fisk_2010-2024 (bearbetad)'!$A$1:$DH$331</definedName>
    <definedName name="_xlnm._FilterDatabase" localSheetId="0" hidden="1">'miljögifter_fisk_2010-2024'!$A$1:$DH$331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4" l="1"/>
  <c r="U11" i="4"/>
  <c r="U19" i="4"/>
  <c r="U29" i="2"/>
  <c r="AG23" i="2"/>
  <c r="AE23" i="2"/>
  <c r="U23" i="2"/>
  <c r="AG22" i="2"/>
  <c r="AE22" i="2"/>
  <c r="U22" i="2"/>
  <c r="AG21" i="2"/>
  <c r="AE21" i="2"/>
  <c r="U21" i="2"/>
  <c r="AG20" i="2"/>
  <c r="AE20" i="2"/>
  <c r="U20" i="2"/>
  <c r="AG19" i="2"/>
  <c r="AE19" i="2"/>
  <c r="U19" i="2"/>
  <c r="AG18" i="2"/>
  <c r="AE18" i="2"/>
  <c r="U18" i="2"/>
  <c r="AG17" i="2"/>
  <c r="AE17" i="2"/>
  <c r="U17" i="2"/>
  <c r="AG16" i="2"/>
  <c r="AE16" i="2"/>
  <c r="U16" i="2"/>
  <c r="AG15" i="2"/>
  <c r="AE15" i="2"/>
  <c r="U15" i="2"/>
  <c r="AG14" i="2"/>
  <c r="AE14" i="2"/>
  <c r="U14" i="2"/>
  <c r="AG13" i="2"/>
  <c r="AE13" i="2"/>
  <c r="U13" i="2"/>
  <c r="AG12" i="2"/>
  <c r="AE12" i="2"/>
  <c r="U12" i="2"/>
  <c r="AG11" i="2"/>
  <c r="AE11" i="2"/>
  <c r="U11" i="2"/>
  <c r="AG10" i="2"/>
  <c r="AE10" i="2"/>
  <c r="U10" i="2"/>
  <c r="AG9" i="2"/>
  <c r="AE9" i="2"/>
  <c r="U9" i="2"/>
  <c r="AG8" i="2"/>
  <c r="AE8" i="2"/>
  <c r="U8" i="2"/>
  <c r="AG7" i="2"/>
  <c r="AE7" i="2"/>
  <c r="U7" i="2"/>
  <c r="AG6" i="2"/>
  <c r="AE6" i="2"/>
  <c r="U6" i="2"/>
  <c r="AG5" i="2"/>
  <c r="AE5" i="2"/>
  <c r="U5" i="2"/>
  <c r="AG4" i="2"/>
  <c r="AE4" i="2"/>
  <c r="U4" i="2"/>
  <c r="AG3" i="2"/>
  <c r="AE3" i="2"/>
  <c r="U3" i="2"/>
  <c r="AG2" i="2"/>
  <c r="AE2" i="2"/>
  <c r="U2" i="2"/>
  <c r="CX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BB23" i="4"/>
  <c r="BA23" i="4"/>
  <c r="AZ23" i="4"/>
  <c r="AY23" i="4"/>
  <c r="AX23" i="4"/>
  <c r="AW23" i="4"/>
  <c r="AV23" i="4"/>
  <c r="AU23" i="4"/>
  <c r="AR23" i="4"/>
  <c r="AP23" i="4"/>
  <c r="AL23" i="4"/>
  <c r="AK23" i="4"/>
  <c r="AJ23" i="4"/>
  <c r="AI23" i="4"/>
  <c r="AG23" i="4"/>
  <c r="AE23" i="4"/>
  <c r="AC23" i="4"/>
  <c r="CW23" i="4" s="1"/>
  <c r="AB23" i="4"/>
  <c r="Z23" i="4"/>
  <c r="V23" i="4"/>
  <c r="U23" i="4"/>
  <c r="CX22" i="4"/>
  <c r="CU22" i="4"/>
  <c r="CS22" i="4"/>
  <c r="CR22" i="4"/>
  <c r="CQ22" i="4"/>
  <c r="CP22" i="4"/>
  <c r="CO22" i="4"/>
  <c r="CN22" i="4"/>
  <c r="CM22" i="4"/>
  <c r="CL22" i="4"/>
  <c r="CK22" i="4"/>
  <c r="CJ22" i="4"/>
  <c r="CI22" i="4"/>
  <c r="BB22" i="4"/>
  <c r="BA22" i="4"/>
  <c r="AZ22" i="4"/>
  <c r="AY22" i="4"/>
  <c r="AX22" i="4"/>
  <c r="AW22" i="4"/>
  <c r="AV22" i="4"/>
  <c r="AU22" i="4"/>
  <c r="AT22" i="4"/>
  <c r="AR22" i="4"/>
  <c r="AP22" i="4"/>
  <c r="AM22" i="4"/>
  <c r="AL22" i="4"/>
  <c r="AK22" i="4"/>
  <c r="AJ22" i="4"/>
  <c r="AI22" i="4"/>
  <c r="AG22" i="4"/>
  <c r="AC22" i="4"/>
  <c r="CW22" i="4" s="1"/>
  <c r="AB22" i="4"/>
  <c r="CV22" i="4" s="1"/>
  <c r="Z22" i="4"/>
  <c r="CT22" i="4" s="1"/>
  <c r="V22" i="4"/>
  <c r="AE22" i="4" s="1"/>
  <c r="U22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BB21" i="4"/>
  <c r="BA21" i="4"/>
  <c r="AZ21" i="4"/>
  <c r="AY21" i="4"/>
  <c r="AX21" i="4"/>
  <c r="AW21" i="4"/>
  <c r="AV21" i="4"/>
  <c r="AU21" i="4"/>
  <c r="AT21" i="4"/>
  <c r="AR21" i="4"/>
  <c r="AP21" i="4"/>
  <c r="AL21" i="4"/>
  <c r="AJ21" i="4"/>
  <c r="AI21" i="4"/>
  <c r="AG21" i="4"/>
  <c r="AC21" i="4"/>
  <c r="Z21" i="4"/>
  <c r="V21" i="4"/>
  <c r="AE21" i="4" s="1"/>
  <c r="U21" i="4"/>
  <c r="CX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BB20" i="4"/>
  <c r="BA20" i="4"/>
  <c r="AZ20" i="4"/>
  <c r="AY20" i="4"/>
  <c r="AX20" i="4"/>
  <c r="AV20" i="4"/>
  <c r="AU20" i="4"/>
  <c r="AR20" i="4"/>
  <c r="AP20" i="4"/>
  <c r="AM20" i="4"/>
  <c r="AL20" i="4"/>
  <c r="AK20" i="4"/>
  <c r="AJ20" i="4"/>
  <c r="AI20" i="4"/>
  <c r="AG20" i="4"/>
  <c r="AE20" i="4"/>
  <c r="AC20" i="4"/>
  <c r="CW20" i="4" s="1"/>
  <c r="Z20" i="4"/>
  <c r="V20" i="4"/>
  <c r="U20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BB19" i="4"/>
  <c r="BA19" i="4"/>
  <c r="AZ19" i="4"/>
  <c r="AY19" i="4"/>
  <c r="AX19" i="4"/>
  <c r="AW19" i="4"/>
  <c r="AV19" i="4"/>
  <c r="AU19" i="4"/>
  <c r="AR19" i="4"/>
  <c r="AP19" i="4"/>
  <c r="AL19" i="4"/>
  <c r="AK19" i="4"/>
  <c r="AJ19" i="4"/>
  <c r="AI19" i="4"/>
  <c r="AG19" i="4"/>
  <c r="AC19" i="4"/>
  <c r="AB19" i="4"/>
  <c r="Z19" i="4"/>
  <c r="V19" i="4"/>
  <c r="AE19" i="4" s="1"/>
  <c r="CX18" i="4"/>
  <c r="CU18" i="4"/>
  <c r="CR18" i="4"/>
  <c r="CQ18" i="4"/>
  <c r="CP18" i="4"/>
  <c r="CO18" i="4"/>
  <c r="CN18" i="4"/>
  <c r="CM18" i="4"/>
  <c r="CL18" i="4"/>
  <c r="CK18" i="4"/>
  <c r="CJ18" i="4"/>
  <c r="CI18" i="4"/>
  <c r="BB18" i="4"/>
  <c r="BA18" i="4"/>
  <c r="AZ18" i="4"/>
  <c r="AY18" i="4"/>
  <c r="AX18" i="4"/>
  <c r="AW18" i="4"/>
  <c r="AV18" i="4"/>
  <c r="AU18" i="4"/>
  <c r="AT18" i="4"/>
  <c r="AR18" i="4"/>
  <c r="AP18" i="4"/>
  <c r="AM18" i="4"/>
  <c r="AL18" i="4"/>
  <c r="AJ18" i="4"/>
  <c r="AI18" i="4"/>
  <c r="AF18" i="4"/>
  <c r="AG18" i="4" s="1"/>
  <c r="AC18" i="4"/>
  <c r="CW18" i="4" s="1"/>
  <c r="AB18" i="4"/>
  <c r="CV18" i="4" s="1"/>
  <c r="Z18" i="4"/>
  <c r="CT18" i="4" s="1"/>
  <c r="Y18" i="4"/>
  <c r="CS18" i="4" s="1"/>
  <c r="V18" i="4"/>
  <c r="AE18" i="4" s="1"/>
  <c r="U18" i="4"/>
  <c r="N18" i="4"/>
  <c r="CX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AZ17" i="4"/>
  <c r="AY17" i="4"/>
  <c r="AX17" i="4"/>
  <c r="AW17" i="4"/>
  <c r="AV17" i="4"/>
  <c r="AU17" i="4"/>
  <c r="AP17" i="4"/>
  <c r="AM17" i="4"/>
  <c r="AL17" i="4"/>
  <c r="AK17" i="4"/>
  <c r="AJ17" i="4"/>
  <c r="AI17" i="4"/>
  <c r="AG17" i="4"/>
  <c r="AE17" i="4"/>
  <c r="AC17" i="4"/>
  <c r="CW17" i="4" s="1"/>
  <c r="Z17" i="4"/>
  <c r="V17" i="4"/>
  <c r="U17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BB16" i="4"/>
  <c r="BA16" i="4"/>
  <c r="AZ16" i="4"/>
  <c r="AY16" i="4"/>
  <c r="AX16" i="4"/>
  <c r="AW16" i="4"/>
  <c r="AV16" i="4"/>
  <c r="AU16" i="4"/>
  <c r="AR16" i="4"/>
  <c r="AP16" i="4"/>
  <c r="AM16" i="4"/>
  <c r="AL16" i="4"/>
  <c r="AJ16" i="4"/>
  <c r="AI16" i="4"/>
  <c r="AG16" i="4"/>
  <c r="AC16" i="4"/>
  <c r="AB16" i="4"/>
  <c r="Z16" i="4"/>
  <c r="V16" i="4"/>
  <c r="AE16" i="4" s="1"/>
  <c r="U16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AZ15" i="4"/>
  <c r="AY15" i="4"/>
  <c r="AX15" i="4"/>
  <c r="AW15" i="4"/>
  <c r="AV15" i="4"/>
  <c r="AU15" i="4"/>
  <c r="AR15" i="4"/>
  <c r="AP15" i="4"/>
  <c r="AM15" i="4"/>
  <c r="AL15" i="4"/>
  <c r="AJ15" i="4"/>
  <c r="AI15" i="4"/>
  <c r="AG15" i="4"/>
  <c r="AC15" i="4"/>
  <c r="Z15" i="4"/>
  <c r="V15" i="4"/>
  <c r="AE15" i="4" s="1"/>
  <c r="U15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AY14" i="4"/>
  <c r="AX14" i="4"/>
  <c r="AW14" i="4"/>
  <c r="AV14" i="4"/>
  <c r="AR14" i="4"/>
  <c r="AP14" i="4"/>
  <c r="AL14" i="4"/>
  <c r="AK14" i="4"/>
  <c r="AJ14" i="4"/>
  <c r="AI14" i="4"/>
  <c r="AG14" i="4"/>
  <c r="AC14" i="4"/>
  <c r="Z14" i="4"/>
  <c r="V14" i="4"/>
  <c r="AE14" i="4" s="1"/>
  <c r="U14" i="4"/>
  <c r="CX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BB13" i="4"/>
  <c r="BA13" i="4"/>
  <c r="AZ13" i="4"/>
  <c r="AY13" i="4"/>
  <c r="AX13" i="4"/>
  <c r="AW13" i="4"/>
  <c r="AV13" i="4"/>
  <c r="AU13" i="4"/>
  <c r="AT13" i="4"/>
  <c r="AR13" i="4"/>
  <c r="AP13" i="4"/>
  <c r="AM13" i="4"/>
  <c r="AL13" i="4"/>
  <c r="AK13" i="4"/>
  <c r="AJ13" i="4"/>
  <c r="AI13" i="4"/>
  <c r="AG13" i="4"/>
  <c r="AC13" i="4"/>
  <c r="CW13" i="4" s="1"/>
  <c r="Z13" i="4"/>
  <c r="V13" i="4"/>
  <c r="AE13" i="4" s="1"/>
  <c r="U13" i="4"/>
  <c r="CX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BB12" i="4"/>
  <c r="BA12" i="4"/>
  <c r="AZ12" i="4"/>
  <c r="AY12" i="4"/>
  <c r="AX12" i="4"/>
  <c r="AW12" i="4"/>
  <c r="AV12" i="4"/>
  <c r="AU12" i="4"/>
  <c r="AT12" i="4"/>
  <c r="AR12" i="4"/>
  <c r="AP12" i="4"/>
  <c r="AM12" i="4"/>
  <c r="AL12" i="4"/>
  <c r="AK12" i="4"/>
  <c r="AJ12" i="4"/>
  <c r="AI12" i="4"/>
  <c r="AG12" i="4"/>
  <c r="AC12" i="4"/>
  <c r="CW12" i="4" s="1"/>
  <c r="Z12" i="4"/>
  <c r="V12" i="4"/>
  <c r="AE12" i="4" s="1"/>
  <c r="U12" i="4"/>
  <c r="CX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BB11" i="4"/>
  <c r="BA11" i="4"/>
  <c r="AY11" i="4"/>
  <c r="AX11" i="4"/>
  <c r="AW11" i="4"/>
  <c r="AV11" i="4"/>
  <c r="AU11" i="4"/>
  <c r="AT11" i="4"/>
  <c r="AR11" i="4"/>
  <c r="AP11" i="4"/>
  <c r="AM11" i="4"/>
  <c r="AL11" i="4"/>
  <c r="AK11" i="4"/>
  <c r="AJ11" i="4"/>
  <c r="AI11" i="4"/>
  <c r="AG11" i="4"/>
  <c r="AC11" i="4"/>
  <c r="CW11" i="4" s="1"/>
  <c r="AB11" i="4"/>
  <c r="CV11" i="4" s="1"/>
  <c r="Z11" i="4"/>
  <c r="X11" i="4"/>
  <c r="V11" i="4"/>
  <c r="AE11" i="4" s="1"/>
  <c r="CX10" i="4"/>
  <c r="CV10" i="4"/>
  <c r="CU10" i="4"/>
  <c r="CQ10" i="4"/>
  <c r="CP10" i="4"/>
  <c r="CO10" i="4"/>
  <c r="CN10" i="4"/>
  <c r="CM10" i="4"/>
  <c r="CL10" i="4"/>
  <c r="CK10" i="4"/>
  <c r="CJ10" i="4"/>
  <c r="CI10" i="4"/>
  <c r="BB10" i="4"/>
  <c r="AZ10" i="4"/>
  <c r="AY10" i="4"/>
  <c r="AX10" i="4"/>
  <c r="AW10" i="4"/>
  <c r="AV10" i="4"/>
  <c r="AU10" i="4"/>
  <c r="AT10" i="4"/>
  <c r="AS10" i="4"/>
  <c r="AR10" i="4"/>
  <c r="AP10" i="4"/>
  <c r="AM10" i="4"/>
  <c r="AL10" i="4"/>
  <c r="AK10" i="4"/>
  <c r="AJ10" i="4"/>
  <c r="AI10" i="4"/>
  <c r="AG10" i="4"/>
  <c r="AE10" i="4"/>
  <c r="AC10" i="4"/>
  <c r="CW10" i="4" s="1"/>
  <c r="AB10" i="4"/>
  <c r="Z10" i="4"/>
  <c r="CT10" i="4" s="1"/>
  <c r="Y10" i="4"/>
  <c r="CS10" i="4" s="1"/>
  <c r="X10" i="4"/>
  <c r="CR10" i="4" s="1"/>
  <c r="V10" i="4"/>
  <c r="U10" i="4"/>
  <c r="CX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BB9" i="4"/>
  <c r="AZ9" i="4"/>
  <c r="AY9" i="4"/>
  <c r="AX9" i="4"/>
  <c r="AW9" i="4"/>
  <c r="AV9" i="4"/>
  <c r="AU9" i="4"/>
  <c r="AR9" i="4"/>
  <c r="AP9" i="4"/>
  <c r="AO9" i="4"/>
  <c r="AM9" i="4"/>
  <c r="AL9" i="4"/>
  <c r="AK9" i="4"/>
  <c r="AJ9" i="4"/>
  <c r="AI9" i="4"/>
  <c r="AG9" i="4"/>
  <c r="AC9" i="4"/>
  <c r="CW9" i="4" s="1"/>
  <c r="AB9" i="4"/>
  <c r="CV9" i="4" s="1"/>
  <c r="Z9" i="4"/>
  <c r="V9" i="4"/>
  <c r="AE9" i="4" s="1"/>
  <c r="U9" i="4"/>
  <c r="CX8" i="4"/>
  <c r="CU8" i="4"/>
  <c r="CQ8" i="4"/>
  <c r="CP8" i="4"/>
  <c r="CO8" i="4"/>
  <c r="CN8" i="4"/>
  <c r="CM8" i="4"/>
  <c r="CL8" i="4"/>
  <c r="CK8" i="4"/>
  <c r="CJ8" i="4"/>
  <c r="CI8" i="4"/>
  <c r="BB8" i="4"/>
  <c r="AZ8" i="4"/>
  <c r="AY8" i="4"/>
  <c r="AX8" i="4"/>
  <c r="AW8" i="4"/>
  <c r="AV8" i="4"/>
  <c r="AU8" i="4"/>
  <c r="AT8" i="4"/>
  <c r="AR8" i="4"/>
  <c r="AP8" i="4"/>
  <c r="AO8" i="4"/>
  <c r="AM8" i="4"/>
  <c r="AL8" i="4"/>
  <c r="AK8" i="4"/>
  <c r="AJ8" i="4"/>
  <c r="AI8" i="4"/>
  <c r="AG8" i="4"/>
  <c r="AC8" i="4"/>
  <c r="CW8" i="4" s="1"/>
  <c r="AB8" i="4"/>
  <c r="AE8" i="4" s="1"/>
  <c r="Z8" i="4"/>
  <c r="CT8" i="4" s="1"/>
  <c r="Y8" i="4"/>
  <c r="CS8" i="4" s="1"/>
  <c r="X8" i="4"/>
  <c r="CR8" i="4" s="1"/>
  <c r="V8" i="4"/>
  <c r="U8" i="4"/>
  <c r="CX7" i="4"/>
  <c r="CU7" i="4"/>
  <c r="CS7" i="4"/>
  <c r="CR7" i="4"/>
  <c r="CQ7" i="4"/>
  <c r="CP7" i="4"/>
  <c r="CO7" i="4"/>
  <c r="CN7" i="4"/>
  <c r="CM7" i="4"/>
  <c r="CL7" i="4"/>
  <c r="CK7" i="4"/>
  <c r="CJ7" i="4"/>
  <c r="CI7" i="4"/>
  <c r="BB7" i="4"/>
  <c r="BA7" i="4"/>
  <c r="AZ7" i="4"/>
  <c r="AY7" i="4"/>
  <c r="AX7" i="4"/>
  <c r="AW7" i="4"/>
  <c r="AV7" i="4"/>
  <c r="AU7" i="4"/>
  <c r="AT7" i="4"/>
  <c r="AR7" i="4"/>
  <c r="AP7" i="4"/>
  <c r="AO7" i="4"/>
  <c r="AL7" i="4"/>
  <c r="AK7" i="4"/>
  <c r="AJ7" i="4"/>
  <c r="AI7" i="4"/>
  <c r="AG7" i="4"/>
  <c r="AC7" i="4"/>
  <c r="CW7" i="4" s="1"/>
  <c r="AB7" i="4"/>
  <c r="CV7" i="4" s="1"/>
  <c r="Z7" i="4"/>
  <c r="CT7" i="4" s="1"/>
  <c r="V7" i="4"/>
  <c r="AE7" i="4" s="1"/>
  <c r="U7" i="4"/>
  <c r="CX6" i="4"/>
  <c r="CW6" i="4"/>
  <c r="CV6" i="4"/>
  <c r="CU6" i="4"/>
  <c r="CS6" i="4"/>
  <c r="CR6" i="4"/>
  <c r="CQ6" i="4"/>
  <c r="CP6" i="4"/>
  <c r="CO6" i="4"/>
  <c r="CN6" i="4"/>
  <c r="CM6" i="4"/>
  <c r="CL6" i="4"/>
  <c r="CK6" i="4"/>
  <c r="CJ6" i="4"/>
  <c r="CI6" i="4"/>
  <c r="AZ6" i="4"/>
  <c r="AY6" i="4"/>
  <c r="AX6" i="4"/>
  <c r="AW6" i="4"/>
  <c r="AV6" i="4"/>
  <c r="AT6" i="4"/>
  <c r="AP6" i="4"/>
  <c r="AO6" i="4"/>
  <c r="AL6" i="4"/>
  <c r="AK6" i="4"/>
  <c r="AJ6" i="4"/>
  <c r="AI6" i="4"/>
  <c r="AG6" i="4"/>
  <c r="AC6" i="4"/>
  <c r="Z6" i="4"/>
  <c r="CT6" i="4" s="1"/>
  <c r="V6" i="4"/>
  <c r="AE6" i="4" s="1"/>
  <c r="U6" i="4"/>
  <c r="CX5" i="4"/>
  <c r="CU5" i="4"/>
  <c r="CS5" i="4"/>
  <c r="CR5" i="4"/>
  <c r="CQ5" i="4"/>
  <c r="CP5" i="4"/>
  <c r="CO5" i="4"/>
  <c r="CN5" i="4"/>
  <c r="CM5" i="4"/>
  <c r="CL5" i="4"/>
  <c r="CK5" i="4"/>
  <c r="CJ5" i="4"/>
  <c r="CI5" i="4"/>
  <c r="BB5" i="4"/>
  <c r="BA5" i="4"/>
  <c r="AZ5" i="4"/>
  <c r="AY5" i="4"/>
  <c r="AX5" i="4"/>
  <c r="AW5" i="4"/>
  <c r="AV5" i="4"/>
  <c r="AU5" i="4"/>
  <c r="AR5" i="4"/>
  <c r="AP5" i="4"/>
  <c r="AO5" i="4"/>
  <c r="AL5" i="4"/>
  <c r="AK5" i="4"/>
  <c r="AJ5" i="4"/>
  <c r="AI5" i="4"/>
  <c r="AE5" i="4"/>
  <c r="AC5" i="4"/>
  <c r="CW5" i="4" s="1"/>
  <c r="AB5" i="4"/>
  <c r="CV5" i="4" s="1"/>
  <c r="Z5" i="4"/>
  <c r="CT5" i="4" s="1"/>
  <c r="V5" i="4"/>
  <c r="U5" i="4"/>
  <c r="CX4" i="4"/>
  <c r="CU4" i="4"/>
  <c r="CT4" i="4"/>
  <c r="CS4" i="4"/>
  <c r="CR4" i="4"/>
  <c r="CQ4" i="4"/>
  <c r="CP4" i="4"/>
  <c r="CO4" i="4"/>
  <c r="CN4" i="4"/>
  <c r="CM4" i="4"/>
  <c r="CL4" i="4"/>
  <c r="CK4" i="4"/>
  <c r="CJ4" i="4"/>
  <c r="BB4" i="4"/>
  <c r="BA4" i="4"/>
  <c r="AZ4" i="4"/>
  <c r="AY4" i="4"/>
  <c r="AX4" i="4"/>
  <c r="AW4" i="4"/>
  <c r="AV4" i="4"/>
  <c r="AU4" i="4"/>
  <c r="AT4" i="4"/>
  <c r="AR4" i="4"/>
  <c r="AP4" i="4"/>
  <c r="AL4" i="4"/>
  <c r="AK4" i="4"/>
  <c r="AJ4" i="4"/>
  <c r="AI4" i="4"/>
  <c r="AG4" i="4"/>
  <c r="AC4" i="4"/>
  <c r="CW4" i="4" s="1"/>
  <c r="AB4" i="4"/>
  <c r="CV4" i="4" s="1"/>
  <c r="Z4" i="4"/>
  <c r="Y4" i="4"/>
  <c r="V4" i="4"/>
  <c r="AE4" i="4" s="1"/>
  <c r="M4" i="4"/>
  <c r="U4" i="4" s="1"/>
  <c r="CX3" i="4"/>
  <c r="CW3" i="4"/>
  <c r="CV3" i="4"/>
  <c r="CU3" i="4"/>
  <c r="CS3" i="4"/>
  <c r="CR3" i="4"/>
  <c r="CQ3" i="4"/>
  <c r="CP3" i="4"/>
  <c r="CO3" i="4"/>
  <c r="CN3" i="4"/>
  <c r="CM3" i="4"/>
  <c r="CL3" i="4"/>
  <c r="CK3" i="4"/>
  <c r="CJ3" i="4"/>
  <c r="CI3" i="4"/>
  <c r="BA3" i="4"/>
  <c r="AY3" i="4"/>
  <c r="AX3" i="4"/>
  <c r="AW3" i="4"/>
  <c r="AV3" i="4"/>
  <c r="AR3" i="4"/>
  <c r="AP3" i="4"/>
  <c r="AL3" i="4"/>
  <c r="AK3" i="4"/>
  <c r="AI3" i="4"/>
  <c r="AG3" i="4"/>
  <c r="AC3" i="4"/>
  <c r="Z3" i="4"/>
  <c r="CT3" i="4" s="1"/>
  <c r="V3" i="4"/>
  <c r="AE3" i="4" s="1"/>
  <c r="U3" i="4"/>
  <c r="CX2" i="4"/>
  <c r="CW2" i="4"/>
  <c r="CV2" i="4"/>
  <c r="CU2" i="4"/>
  <c r="CS2" i="4"/>
  <c r="CR2" i="4"/>
  <c r="CQ2" i="4"/>
  <c r="CP2" i="4"/>
  <c r="CO2" i="4"/>
  <c r="CN2" i="4"/>
  <c r="CM2" i="4"/>
  <c r="CL2" i="4"/>
  <c r="CK2" i="4"/>
  <c r="CJ2" i="4"/>
  <c r="CI2" i="4"/>
  <c r="BB2" i="4"/>
  <c r="BA2" i="4"/>
  <c r="AZ2" i="4"/>
  <c r="AY2" i="4"/>
  <c r="AX2" i="4"/>
  <c r="AW2" i="4"/>
  <c r="AV2" i="4"/>
  <c r="AU2" i="4"/>
  <c r="AR2" i="4"/>
  <c r="AP2" i="4"/>
  <c r="AM2" i="4"/>
  <c r="AL2" i="4"/>
  <c r="AJ2" i="4"/>
  <c r="AI2" i="4"/>
  <c r="AG2" i="4"/>
  <c r="AC2" i="4"/>
  <c r="Z2" i="4"/>
  <c r="CT2" i="4" s="1"/>
  <c r="V2" i="4"/>
  <c r="AE2" i="4" s="1"/>
  <c r="U2" i="4"/>
  <c r="AG63" i="4"/>
  <c r="AG58" i="2"/>
  <c r="AE24" i="2"/>
  <c r="U33" i="2"/>
  <c r="U34" i="2"/>
  <c r="U24" i="2"/>
  <c r="U24" i="4"/>
  <c r="U27" i="2"/>
  <c r="CI4" i="4" l="1"/>
  <c r="CV8" i="4"/>
  <c r="AF212" i="4"/>
  <c r="AF211" i="4"/>
  <c r="AF210" i="4"/>
  <c r="AF209" i="4"/>
  <c r="AB209" i="4"/>
  <c r="V209" i="4"/>
  <c r="AE209" i="4" s="1"/>
  <c r="AF208" i="4"/>
  <c r="V208" i="4"/>
  <c r="AE208" i="4" s="1"/>
  <c r="AF207" i="4"/>
  <c r="V207" i="4"/>
  <c r="AE207" i="4" s="1"/>
  <c r="V206" i="4"/>
  <c r="AE206" i="4" s="1"/>
  <c r="AF205" i="4"/>
  <c r="V205" i="4"/>
  <c r="AE205" i="4" s="1"/>
  <c r="AF204" i="4"/>
  <c r="V204" i="4"/>
  <c r="AE204" i="4" s="1"/>
  <c r="AF203" i="4"/>
  <c r="V203" i="4"/>
  <c r="AF202" i="4"/>
  <c r="V202" i="4"/>
  <c r="AE202" i="4" s="1"/>
  <c r="AF201" i="4"/>
  <c r="V201" i="4"/>
  <c r="AE201" i="4" s="1"/>
  <c r="M201" i="4"/>
  <c r="T201" i="4" s="1"/>
  <c r="AF200" i="4"/>
  <c r="AF199" i="4"/>
  <c r="AF198" i="4"/>
  <c r="AF197" i="4"/>
  <c r="AF196" i="4"/>
  <c r="AF195" i="4"/>
  <c r="AF194" i="4"/>
  <c r="AF193" i="4"/>
  <c r="AF192" i="4"/>
  <c r="V192" i="4"/>
  <c r="AE192" i="4" s="1"/>
  <c r="AF191" i="4"/>
  <c r="AF190" i="4"/>
  <c r="AB190" i="4"/>
  <c r="V190" i="4"/>
  <c r="BK189" i="4"/>
  <c r="BH189" i="4"/>
  <c r="BG189" i="4"/>
  <c r="BF189" i="4"/>
  <c r="BE189" i="4"/>
  <c r="BD189" i="4"/>
  <c r="AF189" i="4"/>
  <c r="AC189" i="4"/>
  <c r="AB189" i="4"/>
  <c r="AE189" i="4" s="1"/>
  <c r="M189" i="4"/>
  <c r="U189" i="4" s="1"/>
  <c r="BK188" i="4"/>
  <c r="BH188" i="4"/>
  <c r="BG188" i="4"/>
  <c r="BF188" i="4"/>
  <c r="BE188" i="4"/>
  <c r="BD188" i="4"/>
  <c r="AF188" i="4"/>
  <c r="AC188" i="4"/>
  <c r="AB188" i="4"/>
  <c r="AA188" i="4"/>
  <c r="Y188" i="4"/>
  <c r="X188" i="4"/>
  <c r="W188" i="4"/>
  <c r="V188" i="4"/>
  <c r="S188" i="4"/>
  <c r="R188" i="4"/>
  <c r="Q188" i="4"/>
  <c r="P188" i="4"/>
  <c r="O188" i="4"/>
  <c r="N188" i="4"/>
  <c r="M188" i="4"/>
  <c r="BK187" i="4"/>
  <c r="BG187" i="4"/>
  <c r="BF187" i="4"/>
  <c r="BE187" i="4"/>
  <c r="BD187" i="4"/>
  <c r="AF187" i="4"/>
  <c r="AC187" i="4"/>
  <c r="AB187" i="4"/>
  <c r="M187" i="4"/>
  <c r="BK186" i="4"/>
  <c r="BH186" i="4"/>
  <c r="BG186" i="4"/>
  <c r="BF186" i="4"/>
  <c r="BE186" i="4"/>
  <c r="BD186" i="4"/>
  <c r="AC186" i="4"/>
  <c r="AB186" i="4"/>
  <c r="V186" i="4"/>
  <c r="AE186" i="4" s="1"/>
  <c r="M186" i="4"/>
  <c r="U186" i="4" s="1"/>
  <c r="BK185" i="4"/>
  <c r="BH185" i="4"/>
  <c r="BG185" i="4"/>
  <c r="BF185" i="4"/>
  <c r="BE185" i="4"/>
  <c r="BD185" i="4"/>
  <c r="AC185" i="4"/>
  <c r="AB185" i="4"/>
  <c r="AA185" i="4"/>
  <c r="Y185" i="4"/>
  <c r="X185" i="4"/>
  <c r="W185" i="4"/>
  <c r="V185" i="4"/>
  <c r="S185" i="4"/>
  <c r="R185" i="4"/>
  <c r="Q185" i="4"/>
  <c r="P185" i="4"/>
  <c r="O185" i="4"/>
  <c r="N185" i="4"/>
  <c r="M185" i="4"/>
  <c r="BM184" i="4"/>
  <c r="BK184" i="4"/>
  <c r="BJ184" i="4"/>
  <c r="BH184" i="4"/>
  <c r="BG184" i="4"/>
  <c r="BF184" i="4"/>
  <c r="BE184" i="4"/>
  <c r="BD184" i="4"/>
  <c r="AC184" i="4"/>
  <c r="AB184" i="4"/>
  <c r="AA184" i="4"/>
  <c r="Y184" i="4"/>
  <c r="X184" i="4"/>
  <c r="W184" i="4"/>
  <c r="V184" i="4"/>
  <c r="S184" i="4"/>
  <c r="R184" i="4"/>
  <c r="Q184" i="4"/>
  <c r="P184" i="4"/>
  <c r="O184" i="4"/>
  <c r="N184" i="4"/>
  <c r="M184" i="4"/>
  <c r="BK183" i="4"/>
  <c r="BH183" i="4"/>
  <c r="BG183" i="4"/>
  <c r="BF183" i="4"/>
  <c r="BE183" i="4"/>
  <c r="BD183" i="4"/>
  <c r="AF183" i="4"/>
  <c r="AC183" i="4"/>
  <c r="AB183" i="4"/>
  <c r="AA183" i="4"/>
  <c r="Y183" i="4"/>
  <c r="X183" i="4"/>
  <c r="W183" i="4"/>
  <c r="V183" i="4"/>
  <c r="M183" i="4"/>
  <c r="U183" i="4" s="1"/>
  <c r="CY182" i="4"/>
  <c r="CW182" i="4"/>
  <c r="CY181" i="4"/>
  <c r="CW181" i="4"/>
  <c r="CT181" i="4"/>
  <c r="CY180" i="4"/>
  <c r="CW180" i="4"/>
  <c r="CY179" i="4"/>
  <c r="CW179" i="4"/>
  <c r="CT179" i="4"/>
  <c r="AF178" i="4"/>
  <c r="AC178" i="4"/>
  <c r="AB178" i="4"/>
  <c r="AA178" i="4"/>
  <c r="V178" i="4"/>
  <c r="AE178" i="4" s="1"/>
  <c r="AF177" i="4"/>
  <c r="AC177" i="4"/>
  <c r="Z177" i="4"/>
  <c r="V177" i="4"/>
  <c r="M177" i="4"/>
  <c r="AF176" i="4"/>
  <c r="AC176" i="4"/>
  <c r="Z176" i="4"/>
  <c r="V176" i="4"/>
  <c r="AE176" i="4" s="1"/>
  <c r="AF175" i="4"/>
  <c r="AC175" i="4"/>
  <c r="AB175" i="4"/>
  <c r="AA175" i="4"/>
  <c r="Z175" i="4"/>
  <c r="V175" i="4"/>
  <c r="BK174" i="4"/>
  <c r="BG174" i="4"/>
  <c r="BF174" i="4"/>
  <c r="BE174" i="4"/>
  <c r="BD174" i="4"/>
  <c r="AP174" i="4"/>
  <c r="AM174" i="4"/>
  <c r="AL174" i="4"/>
  <c r="AK174" i="4"/>
  <c r="AJ174" i="4"/>
  <c r="AI174" i="4"/>
  <c r="AF174" i="4"/>
  <c r="AC174" i="4"/>
  <c r="Z174" i="4"/>
  <c r="V174" i="4"/>
  <c r="BK173" i="4"/>
  <c r="BG173" i="4"/>
  <c r="BE173" i="4"/>
  <c r="BD173" i="4"/>
  <c r="AP173" i="4"/>
  <c r="AM173" i="4"/>
  <c r="AL173" i="4"/>
  <c r="AK173" i="4"/>
  <c r="AJ173" i="4"/>
  <c r="AI173" i="4"/>
  <c r="AF173" i="4"/>
  <c r="AC173" i="4"/>
  <c r="AB173" i="4"/>
  <c r="Z173" i="4"/>
  <c r="X173" i="4"/>
  <c r="V173" i="4"/>
  <c r="M173" i="4"/>
  <c r="T173" i="4" s="1"/>
  <c r="BG172" i="4"/>
  <c r="BE172" i="4"/>
  <c r="BD172" i="4"/>
  <c r="AR172" i="4"/>
  <c r="AP172" i="4"/>
  <c r="AL172" i="4"/>
  <c r="AK172" i="4"/>
  <c r="AJ172" i="4"/>
  <c r="AI172" i="4"/>
  <c r="AF172" i="4"/>
  <c r="AC172" i="4"/>
  <c r="AB172" i="4"/>
  <c r="AA172" i="4"/>
  <c r="Z172" i="4"/>
  <c r="X172" i="4"/>
  <c r="V172" i="4"/>
  <c r="M172" i="4"/>
  <c r="T172" i="4" s="1"/>
  <c r="BK171" i="4"/>
  <c r="BG171" i="4"/>
  <c r="BE171" i="4"/>
  <c r="BD171" i="4"/>
  <c r="AP171" i="4"/>
  <c r="AM171" i="4"/>
  <c r="AL171" i="4"/>
  <c r="AK171" i="4"/>
  <c r="AJ171" i="4"/>
  <c r="AI171" i="4"/>
  <c r="AF171" i="4"/>
  <c r="AC171" i="4"/>
  <c r="AD171" i="4" s="1"/>
  <c r="AB171" i="4"/>
  <c r="Z171" i="4"/>
  <c r="V171" i="4"/>
  <c r="AE171" i="4" s="1"/>
  <c r="M171" i="4"/>
  <c r="BK170" i="4"/>
  <c r="BG170" i="4"/>
  <c r="BE170" i="4"/>
  <c r="BD170" i="4"/>
  <c r="AP170" i="4"/>
  <c r="AM170" i="4"/>
  <c r="AL170" i="4"/>
  <c r="AK170" i="4"/>
  <c r="AJ170" i="4"/>
  <c r="AI170" i="4"/>
  <c r="AF170" i="4"/>
  <c r="AC170" i="4"/>
  <c r="AB170" i="4"/>
  <c r="Z170" i="4"/>
  <c r="V170" i="4"/>
  <c r="BK169" i="4"/>
  <c r="BG169" i="4"/>
  <c r="BE169" i="4"/>
  <c r="BD169" i="4"/>
  <c r="AP169" i="4"/>
  <c r="AM169" i="4"/>
  <c r="AL169" i="4"/>
  <c r="AK169" i="4"/>
  <c r="AJ169" i="4"/>
  <c r="AI169" i="4"/>
  <c r="AF169" i="4"/>
  <c r="AC169" i="4"/>
  <c r="AB169" i="4"/>
  <c r="AA169" i="4"/>
  <c r="Z169" i="4"/>
  <c r="V169" i="4"/>
  <c r="AP168" i="4"/>
  <c r="AM168" i="4"/>
  <c r="AL168" i="4"/>
  <c r="AK168" i="4"/>
  <c r="AJ168" i="4"/>
  <c r="AI168" i="4"/>
  <c r="AF168" i="4"/>
  <c r="AC168" i="4"/>
  <c r="AB168" i="4"/>
  <c r="Z168" i="4"/>
  <c r="X168" i="4"/>
  <c r="V168" i="4"/>
  <c r="BK167" i="4"/>
  <c r="BG167" i="4"/>
  <c r="BE167" i="4"/>
  <c r="BD167" i="4"/>
  <c r="AP167" i="4"/>
  <c r="AM167" i="4"/>
  <c r="AL167" i="4"/>
  <c r="AK167" i="4"/>
  <c r="AJ167" i="4"/>
  <c r="AI167" i="4"/>
  <c r="AF167" i="4"/>
  <c r="AC167" i="4"/>
  <c r="AB167" i="4"/>
  <c r="Z167" i="4"/>
  <c r="V167" i="4"/>
  <c r="AE167" i="4" s="1"/>
  <c r="N167" i="4"/>
  <c r="M167" i="4"/>
  <c r="T167" i="4" s="1"/>
  <c r="BK166" i="4"/>
  <c r="BG166" i="4"/>
  <c r="BE166" i="4"/>
  <c r="BD166" i="4"/>
  <c r="AR166" i="4"/>
  <c r="AP166" i="4"/>
  <c r="AM166" i="4"/>
  <c r="AL166" i="4"/>
  <c r="AK166" i="4"/>
  <c r="AI166" i="4"/>
  <c r="AF166" i="4"/>
  <c r="AC166" i="4"/>
  <c r="AB166" i="4"/>
  <c r="Z166" i="4"/>
  <c r="V166" i="4"/>
  <c r="AE166" i="4" s="1"/>
  <c r="BK165" i="4"/>
  <c r="BG165" i="4"/>
  <c r="BE165" i="4"/>
  <c r="BD165" i="4"/>
  <c r="AP165" i="4"/>
  <c r="AM165" i="4"/>
  <c r="AL165" i="4"/>
  <c r="AK165" i="4"/>
  <c r="AJ165" i="4"/>
  <c r="AI165" i="4"/>
  <c r="AF165" i="4"/>
  <c r="AC165" i="4"/>
  <c r="Z165" i="4"/>
  <c r="V165" i="4"/>
  <c r="AE165" i="4" s="1"/>
  <c r="BK163" i="4"/>
  <c r="BG163" i="4"/>
  <c r="BF163" i="4"/>
  <c r="BE163" i="4"/>
  <c r="BD163" i="4"/>
  <c r="AP163" i="4"/>
  <c r="AM163" i="4"/>
  <c r="AL163" i="4"/>
  <c r="AK163" i="4"/>
  <c r="AJ163" i="4"/>
  <c r="AI163" i="4"/>
  <c r="AF163" i="4"/>
  <c r="AC163" i="4"/>
  <c r="V163" i="4"/>
  <c r="AE163" i="4" s="1"/>
  <c r="BK162" i="4"/>
  <c r="BG162" i="4"/>
  <c r="BE162" i="4"/>
  <c r="BD162" i="4"/>
  <c r="AR162" i="4"/>
  <c r="AP162" i="4"/>
  <c r="AM162" i="4"/>
  <c r="AL162" i="4"/>
  <c r="AK162" i="4"/>
  <c r="AJ162" i="4"/>
  <c r="AI162" i="4"/>
  <c r="AF162" i="4"/>
  <c r="AC162" i="4"/>
  <c r="V162" i="4"/>
  <c r="BK161" i="4"/>
  <c r="BG161" i="4"/>
  <c r="BE161" i="4"/>
  <c r="BD161" i="4"/>
  <c r="AR161" i="4"/>
  <c r="AP161" i="4"/>
  <c r="AM161" i="4"/>
  <c r="AL161" i="4"/>
  <c r="AK161" i="4"/>
  <c r="AJ161" i="4"/>
  <c r="AI161" i="4"/>
  <c r="AF161" i="4"/>
  <c r="AC161" i="4"/>
  <c r="AA161" i="4"/>
  <c r="Y161" i="4"/>
  <c r="V161" i="4"/>
  <c r="BK160" i="4"/>
  <c r="BG160" i="4"/>
  <c r="BE160" i="4"/>
  <c r="BD160" i="4"/>
  <c r="AP160" i="4"/>
  <c r="AM160" i="4"/>
  <c r="AL160" i="4"/>
  <c r="AK160" i="4"/>
  <c r="AJ160" i="4"/>
  <c r="AI160" i="4"/>
  <c r="AF160" i="4"/>
  <c r="AC160" i="4"/>
  <c r="AA160" i="4"/>
  <c r="V160" i="4"/>
  <c r="BK159" i="4"/>
  <c r="BG159" i="4"/>
  <c r="BF159" i="4"/>
  <c r="BE159" i="4"/>
  <c r="BD159" i="4"/>
  <c r="AR159" i="4"/>
  <c r="AQ159" i="4"/>
  <c r="AP159" i="4"/>
  <c r="AM159" i="4"/>
  <c r="AL159" i="4"/>
  <c r="AK159" i="4"/>
  <c r="AJ159" i="4"/>
  <c r="AI159" i="4"/>
  <c r="AF159" i="4"/>
  <c r="AC159" i="4"/>
  <c r="V159" i="4"/>
  <c r="BK158" i="4"/>
  <c r="BG158" i="4"/>
  <c r="BE158" i="4"/>
  <c r="BD158" i="4"/>
  <c r="AP158" i="4"/>
  <c r="AM158" i="4"/>
  <c r="AL158" i="4"/>
  <c r="AK158" i="4"/>
  <c r="AJ158" i="4"/>
  <c r="AI158" i="4"/>
  <c r="AC158" i="4"/>
  <c r="V158" i="4"/>
  <c r="AE158" i="4" s="1"/>
  <c r="BK157" i="4"/>
  <c r="BJ157" i="4"/>
  <c r="BG157" i="4"/>
  <c r="BE157" i="4"/>
  <c r="BD157" i="4"/>
  <c r="AR157" i="4"/>
  <c r="AQ157" i="4"/>
  <c r="AP157" i="4"/>
  <c r="AO157" i="4"/>
  <c r="AM157" i="4"/>
  <c r="AL157" i="4"/>
  <c r="AK157" i="4"/>
  <c r="AJ157" i="4"/>
  <c r="AI157" i="4"/>
  <c r="AF157" i="4"/>
  <c r="AC157" i="4"/>
  <c r="AA157" i="4"/>
  <c r="Y157" i="4"/>
  <c r="X157" i="4"/>
  <c r="W157" i="4"/>
  <c r="V157" i="4"/>
  <c r="M157" i="4"/>
  <c r="U157" i="4" s="1"/>
  <c r="BK156" i="4"/>
  <c r="BG156" i="4"/>
  <c r="BE156" i="4"/>
  <c r="BD156" i="4"/>
  <c r="AR156" i="4"/>
  <c r="AP156" i="4"/>
  <c r="AM156" i="4"/>
  <c r="AL156" i="4"/>
  <c r="AK156" i="4"/>
  <c r="AJ156" i="4"/>
  <c r="AI156" i="4"/>
  <c r="AF156" i="4"/>
  <c r="AC156" i="4"/>
  <c r="Z156" i="4"/>
  <c r="Y156" i="4"/>
  <c r="V156" i="4"/>
  <c r="AE156" i="4" s="1"/>
  <c r="M156" i="4"/>
  <c r="U156" i="4" s="1"/>
  <c r="BK155" i="4"/>
  <c r="BG155" i="4"/>
  <c r="BE155" i="4"/>
  <c r="BD155" i="4"/>
  <c r="AP155" i="4"/>
  <c r="AM155" i="4"/>
  <c r="AL155" i="4"/>
  <c r="AK155" i="4"/>
  <c r="AJ155" i="4"/>
  <c r="AI155" i="4"/>
  <c r="AF155" i="4"/>
  <c r="AC155" i="4"/>
  <c r="Z155" i="4"/>
  <c r="V155" i="4"/>
  <c r="AE155" i="4" s="1"/>
  <c r="BK154" i="4"/>
  <c r="BG154" i="4"/>
  <c r="BE154" i="4"/>
  <c r="BD154" i="4"/>
  <c r="AP154" i="4"/>
  <c r="AM154" i="4"/>
  <c r="AL154" i="4"/>
  <c r="AK154" i="4"/>
  <c r="AJ154" i="4"/>
  <c r="AI154" i="4"/>
  <c r="AF154" i="4"/>
  <c r="AC154" i="4"/>
  <c r="AA154" i="4"/>
  <c r="AE154" i="4" s="1"/>
  <c r="Z154" i="4"/>
  <c r="V154" i="4"/>
  <c r="BK153" i="4"/>
  <c r="BG153" i="4"/>
  <c r="BE153" i="4"/>
  <c r="BD153" i="4"/>
  <c r="AP153" i="4"/>
  <c r="AM153" i="4"/>
  <c r="AL153" i="4"/>
  <c r="AK153" i="4"/>
  <c r="AJ153" i="4"/>
  <c r="AI153" i="4"/>
  <c r="AF153" i="4"/>
  <c r="AC153" i="4"/>
  <c r="Z153" i="4"/>
  <c r="V153" i="4"/>
  <c r="AE153" i="4" s="1"/>
  <c r="BK152" i="4"/>
  <c r="BG152" i="4"/>
  <c r="BE152" i="4"/>
  <c r="BD152" i="4"/>
  <c r="AP152" i="4"/>
  <c r="AM152" i="4"/>
  <c r="AL152" i="4"/>
  <c r="AK152" i="4"/>
  <c r="AJ152" i="4"/>
  <c r="AI152" i="4"/>
  <c r="AF152" i="4"/>
  <c r="AC152" i="4"/>
  <c r="V152" i="4"/>
  <c r="AE152" i="4" s="1"/>
  <c r="BK151" i="4"/>
  <c r="BG151" i="4"/>
  <c r="BE151" i="4"/>
  <c r="BD151" i="4"/>
  <c r="AR151" i="4"/>
  <c r="AP151" i="4"/>
  <c r="AM151" i="4"/>
  <c r="AL151" i="4"/>
  <c r="AK151" i="4"/>
  <c r="AJ151" i="4"/>
  <c r="AI151" i="4"/>
  <c r="AF151" i="4"/>
  <c r="AC151" i="4"/>
  <c r="V151" i="4"/>
  <c r="AE151" i="4" s="1"/>
  <c r="M151" i="4"/>
  <c r="CH149" i="4"/>
  <c r="CG149" i="4"/>
  <c r="CF149" i="4"/>
  <c r="CE149" i="4"/>
  <c r="CA149" i="4"/>
  <c r="BW149" i="4"/>
  <c r="BV149" i="4"/>
  <c r="BU149" i="4"/>
  <c r="BK149" i="4"/>
  <c r="BG149" i="4"/>
  <c r="BE149" i="4"/>
  <c r="BD149" i="4"/>
  <c r="AR149" i="4"/>
  <c r="AP149" i="4"/>
  <c r="AM149" i="4"/>
  <c r="AL149" i="4"/>
  <c r="AK149" i="4"/>
  <c r="AJ149" i="4"/>
  <c r="AI149" i="4"/>
  <c r="Z149" i="4"/>
  <c r="V149" i="4"/>
  <c r="AE149" i="4" s="1"/>
  <c r="CH148" i="4"/>
  <c r="CG148" i="4"/>
  <c r="CF148" i="4"/>
  <c r="CC148" i="4"/>
  <c r="CB148" i="4"/>
  <c r="CA148" i="4"/>
  <c r="BW148" i="4"/>
  <c r="BV148" i="4"/>
  <c r="BU148" i="4"/>
  <c r="BS148" i="4"/>
  <c r="BM148" i="4"/>
  <c r="BK148" i="4"/>
  <c r="BG148" i="4"/>
  <c r="BE148" i="4"/>
  <c r="BD148" i="4"/>
  <c r="AR148" i="4"/>
  <c r="AP148" i="4"/>
  <c r="AO148" i="4"/>
  <c r="AM148" i="4"/>
  <c r="AL148" i="4"/>
  <c r="AK148" i="4"/>
  <c r="AJ148" i="4"/>
  <c r="AI148" i="4"/>
  <c r="AF148" i="4"/>
  <c r="AB148" i="4"/>
  <c r="AE148" i="4" s="1"/>
  <c r="AA148" i="4"/>
  <c r="Z148" i="4"/>
  <c r="X148" i="4"/>
  <c r="V148" i="4"/>
  <c r="CH147" i="4"/>
  <c r="CG147" i="4"/>
  <c r="CF147" i="4"/>
  <c r="CA147" i="4"/>
  <c r="BW147" i="4"/>
  <c r="BS147" i="4"/>
  <c r="BK147" i="4"/>
  <c r="BG147" i="4"/>
  <c r="BE147" i="4"/>
  <c r="BD147" i="4"/>
  <c r="AP147" i="4"/>
  <c r="AM147" i="4"/>
  <c r="AL147" i="4"/>
  <c r="AK147" i="4"/>
  <c r="AJ147" i="4"/>
  <c r="AI147" i="4"/>
  <c r="V147" i="4"/>
  <c r="AE147" i="4" s="1"/>
  <c r="CH146" i="4"/>
  <c r="CG146" i="4"/>
  <c r="CF146" i="4"/>
  <c r="CD146" i="4"/>
  <c r="CC146" i="4"/>
  <c r="CA146" i="4"/>
  <c r="BW146" i="4"/>
  <c r="BV146" i="4"/>
  <c r="BU146" i="4"/>
  <c r="BS146" i="4"/>
  <c r="BK146" i="4"/>
  <c r="BG146" i="4"/>
  <c r="BE146" i="4"/>
  <c r="BD146" i="4"/>
  <c r="AR146" i="4"/>
  <c r="AP146" i="4"/>
  <c r="AM146" i="4"/>
  <c r="AL146" i="4"/>
  <c r="AK146" i="4"/>
  <c r="AJ146" i="4"/>
  <c r="AI146" i="4"/>
  <c r="AF146" i="4"/>
  <c r="AA146" i="4"/>
  <c r="V146" i="4"/>
  <c r="AE146" i="4" s="1"/>
  <c r="CH145" i="4"/>
  <c r="CG145" i="4"/>
  <c r="CF145" i="4"/>
  <c r="CD145" i="4"/>
  <c r="CC145" i="4"/>
  <c r="CB145" i="4"/>
  <c r="CA145" i="4"/>
  <c r="BW145" i="4"/>
  <c r="BV145" i="4"/>
  <c r="BU145" i="4"/>
  <c r="BS145" i="4"/>
  <c r="BK145" i="4"/>
  <c r="BG145" i="4"/>
  <c r="BE145" i="4"/>
  <c r="BD145" i="4"/>
  <c r="AP145" i="4"/>
  <c r="AM145" i="4"/>
  <c r="AL145" i="4"/>
  <c r="AJ145" i="4"/>
  <c r="AI145" i="4"/>
  <c r="AF145" i="4"/>
  <c r="AB145" i="4"/>
  <c r="AA145" i="4"/>
  <c r="Z145" i="4"/>
  <c r="V145" i="4"/>
  <c r="AE145" i="4" s="1"/>
  <c r="CH144" i="4"/>
  <c r="CG144" i="4"/>
  <c r="CF144" i="4"/>
  <c r="CD144" i="4"/>
  <c r="CC144" i="4"/>
  <c r="CB144" i="4"/>
  <c r="CA144" i="4"/>
  <c r="BW144" i="4"/>
  <c r="BV144" i="4"/>
  <c r="BU144" i="4"/>
  <c r="BS144" i="4"/>
  <c r="BQ144" i="4"/>
  <c r="BK144" i="4"/>
  <c r="BG144" i="4"/>
  <c r="BE144" i="4"/>
  <c r="BD144" i="4"/>
  <c r="AP144" i="4"/>
  <c r="AM144" i="4"/>
  <c r="AL144" i="4"/>
  <c r="AK144" i="4"/>
  <c r="AJ144" i="4"/>
  <c r="AI144" i="4"/>
  <c r="AF144" i="4"/>
  <c r="CH143" i="4"/>
  <c r="CG143" i="4"/>
  <c r="CF143" i="4"/>
  <c r="CE143" i="4"/>
  <c r="CD143" i="4"/>
  <c r="CC143" i="4"/>
  <c r="CB143" i="4"/>
  <c r="CA143" i="4"/>
  <c r="BW143" i="4"/>
  <c r="BV143" i="4"/>
  <c r="BU143" i="4"/>
  <c r="BS143" i="4"/>
  <c r="BG143" i="4"/>
  <c r="BE143" i="4"/>
  <c r="BD143" i="4"/>
  <c r="AR143" i="4"/>
  <c r="AP143" i="4"/>
  <c r="AM143" i="4"/>
  <c r="AL143" i="4"/>
  <c r="AK143" i="4"/>
  <c r="AJ143" i="4"/>
  <c r="AI143" i="4"/>
  <c r="AF143" i="4"/>
  <c r="AA143" i="4"/>
  <c r="X143" i="4"/>
  <c r="V143" i="4"/>
  <c r="CH142" i="4"/>
  <c r="CG142" i="4"/>
  <c r="CF142" i="4"/>
  <c r="CC142" i="4"/>
  <c r="CB142" i="4"/>
  <c r="CA142" i="4"/>
  <c r="BW142" i="4"/>
  <c r="BV142" i="4"/>
  <c r="BU142" i="4"/>
  <c r="BS142" i="4"/>
  <c r="BK142" i="4"/>
  <c r="BG142" i="4"/>
  <c r="BE142" i="4"/>
  <c r="BD142" i="4"/>
  <c r="AP142" i="4"/>
  <c r="AM142" i="4"/>
  <c r="AL142" i="4"/>
  <c r="AK142" i="4"/>
  <c r="AJ142" i="4"/>
  <c r="AI142" i="4"/>
  <c r="AF142" i="4"/>
  <c r="Z142" i="4"/>
  <c r="V142" i="4"/>
  <c r="AE142" i="4" s="1"/>
  <c r="CH141" i="4"/>
  <c r="CG141" i="4"/>
  <c r="CF141" i="4"/>
  <c r="CD141" i="4"/>
  <c r="CC141" i="4"/>
  <c r="CB141" i="4"/>
  <c r="CA141" i="4"/>
  <c r="BW141" i="4"/>
  <c r="BV141" i="4"/>
  <c r="BU141" i="4"/>
  <c r="BS141" i="4"/>
  <c r="BG141" i="4"/>
  <c r="BE141" i="4"/>
  <c r="BD141" i="4"/>
  <c r="AP141" i="4"/>
  <c r="AM141" i="4"/>
  <c r="AL141" i="4"/>
  <c r="AJ141" i="4"/>
  <c r="AI141" i="4"/>
  <c r="AF141" i="4"/>
  <c r="Z141" i="4"/>
  <c r="V141" i="4"/>
  <c r="CH140" i="4"/>
  <c r="CG140" i="4"/>
  <c r="CF140" i="4"/>
  <c r="CA140" i="4"/>
  <c r="BU140" i="4"/>
  <c r="BS140" i="4"/>
  <c r="BK140" i="4"/>
  <c r="BG140" i="4"/>
  <c r="BE140" i="4"/>
  <c r="BD140" i="4"/>
  <c r="AP140" i="4"/>
  <c r="AM140" i="4"/>
  <c r="AL140" i="4"/>
  <c r="AJ140" i="4"/>
  <c r="AI140" i="4"/>
  <c r="AF140" i="4"/>
  <c r="AB140" i="4"/>
  <c r="Z140" i="4"/>
  <c r="V140" i="4"/>
  <c r="CH139" i="4"/>
  <c r="CG139" i="4"/>
  <c r="CF139" i="4"/>
  <c r="CC139" i="4"/>
  <c r="CA139" i="4"/>
  <c r="BS139" i="4"/>
  <c r="BK139" i="4"/>
  <c r="BG139" i="4"/>
  <c r="BD139" i="4"/>
  <c r="AP139" i="4"/>
  <c r="AM139" i="4"/>
  <c r="AL139" i="4"/>
  <c r="AK139" i="4"/>
  <c r="AJ139" i="4"/>
  <c r="AI139" i="4"/>
  <c r="AF139" i="4"/>
  <c r="V139" i="4"/>
  <c r="CH138" i="4"/>
  <c r="CG138" i="4"/>
  <c r="CF138" i="4"/>
  <c r="CC138" i="4"/>
  <c r="CB138" i="4"/>
  <c r="CA138" i="4"/>
  <c r="BW138" i="4"/>
  <c r="BV138" i="4"/>
  <c r="BS138" i="4"/>
  <c r="BK138" i="4"/>
  <c r="BG138" i="4"/>
  <c r="BE138" i="4"/>
  <c r="BD138" i="4"/>
  <c r="AP138" i="4"/>
  <c r="AM138" i="4"/>
  <c r="AL138" i="4"/>
  <c r="AK138" i="4"/>
  <c r="AJ138" i="4"/>
  <c r="AI138" i="4"/>
  <c r="AF138" i="4"/>
  <c r="AA138" i="4"/>
  <c r="V138" i="4"/>
  <c r="CH136" i="4"/>
  <c r="CG136" i="4"/>
  <c r="CF136" i="4"/>
  <c r="CD136" i="4"/>
  <c r="CB136" i="4"/>
  <c r="CA136" i="4"/>
  <c r="BZ136" i="4"/>
  <c r="BX136" i="4"/>
  <c r="BW136" i="4"/>
  <c r="BV136" i="4"/>
  <c r="BR136" i="4"/>
  <c r="BK136" i="4"/>
  <c r="BG136" i="4"/>
  <c r="BF136" i="4"/>
  <c r="BE136" i="4"/>
  <c r="BD136" i="4"/>
  <c r="AP136" i="4"/>
  <c r="AO136" i="4"/>
  <c r="AN136" i="4"/>
  <c r="AM136" i="4"/>
  <c r="AL136" i="4"/>
  <c r="AK136" i="4"/>
  <c r="AJ136" i="4"/>
  <c r="AI136" i="4"/>
  <c r="AC136" i="4"/>
  <c r="AB136" i="4"/>
  <c r="AA136" i="4"/>
  <c r="Z136" i="4"/>
  <c r="V136" i="4"/>
  <c r="M136" i="4"/>
  <c r="U136" i="4" s="1"/>
  <c r="CH135" i="4"/>
  <c r="CG135" i="4"/>
  <c r="CF135" i="4"/>
  <c r="CD135" i="4"/>
  <c r="CA135" i="4"/>
  <c r="BW135" i="4"/>
  <c r="BV135" i="4"/>
  <c r="BS135" i="4"/>
  <c r="BQ135" i="4"/>
  <c r="BK135" i="4"/>
  <c r="BG135" i="4"/>
  <c r="BE135" i="4"/>
  <c r="BD135" i="4"/>
  <c r="AP135" i="4"/>
  <c r="AM135" i="4"/>
  <c r="AK135" i="4"/>
  <c r="AJ135" i="4"/>
  <c r="AI135" i="4"/>
  <c r="AC135" i="4"/>
  <c r="Z135" i="4"/>
  <c r="V135" i="4"/>
  <c r="AE135" i="4" s="1"/>
  <c r="CH134" i="4"/>
  <c r="CG134" i="4"/>
  <c r="CF134" i="4"/>
  <c r="CD134" i="4"/>
  <c r="CC134" i="4"/>
  <c r="CB134" i="4"/>
  <c r="CA134" i="4"/>
  <c r="BZ134" i="4"/>
  <c r="BX134" i="4"/>
  <c r="BW134" i="4"/>
  <c r="BV134" i="4"/>
  <c r="BS134" i="4"/>
  <c r="BQ134" i="4"/>
  <c r="BK134" i="4"/>
  <c r="BH134" i="4"/>
  <c r="BG134" i="4"/>
  <c r="BE134" i="4"/>
  <c r="BD134" i="4"/>
  <c r="AQ134" i="4"/>
  <c r="AP134" i="4"/>
  <c r="AO134" i="4"/>
  <c r="AN134" i="4"/>
  <c r="AM134" i="4"/>
  <c r="AL134" i="4"/>
  <c r="AK134" i="4"/>
  <c r="AJ134" i="4"/>
  <c r="AI134" i="4"/>
  <c r="AF134" i="4"/>
  <c r="AC134" i="4"/>
  <c r="AB134" i="4"/>
  <c r="AA134" i="4"/>
  <c r="Z134" i="4"/>
  <c r="Y134" i="4"/>
  <c r="X134" i="4"/>
  <c r="V134" i="4"/>
  <c r="CH133" i="4"/>
  <c r="CG133" i="4"/>
  <c r="CD133" i="4"/>
  <c r="CC133" i="4"/>
  <c r="CA133" i="4"/>
  <c r="BZ133" i="4"/>
  <c r="BX133" i="4"/>
  <c r="BW133" i="4"/>
  <c r="BV133" i="4"/>
  <c r="BS133" i="4"/>
  <c r="BQ133" i="4"/>
  <c r="BK133" i="4"/>
  <c r="BH133" i="4"/>
  <c r="BG133" i="4"/>
  <c r="BE133" i="4"/>
  <c r="BD133" i="4"/>
  <c r="AP133" i="4"/>
  <c r="AM133" i="4"/>
  <c r="AL133" i="4"/>
  <c r="AK133" i="4"/>
  <c r="AJ133" i="4"/>
  <c r="AI133" i="4"/>
  <c r="AC133" i="4"/>
  <c r="V133" i="4"/>
  <c r="AE133" i="4" s="1"/>
  <c r="CH132" i="4"/>
  <c r="CG132" i="4"/>
  <c r="CF132" i="4"/>
  <c r="CD132" i="4"/>
  <c r="CA132" i="4"/>
  <c r="BX132" i="4"/>
  <c r="BW132" i="4"/>
  <c r="BV132" i="4"/>
  <c r="BS132" i="4"/>
  <c r="BR132" i="4"/>
  <c r="BQ132" i="4"/>
  <c r="BK132" i="4"/>
  <c r="BG132" i="4"/>
  <c r="BF132" i="4"/>
  <c r="BE132" i="4"/>
  <c r="BD132" i="4"/>
  <c r="AQ132" i="4"/>
  <c r="AP132" i="4"/>
  <c r="AO132" i="4"/>
  <c r="AM132" i="4"/>
  <c r="AL132" i="4"/>
  <c r="AK132" i="4"/>
  <c r="AJ132" i="4"/>
  <c r="AI132" i="4"/>
  <c r="AC132" i="4"/>
  <c r="AA132" i="4"/>
  <c r="V132" i="4"/>
  <c r="CH131" i="4"/>
  <c r="CG131" i="4"/>
  <c r="CF131" i="4"/>
  <c r="CD131" i="4"/>
  <c r="CC131" i="4"/>
  <c r="CB131" i="4"/>
  <c r="CA131" i="4"/>
  <c r="BZ131" i="4"/>
  <c r="BY131" i="4"/>
  <c r="BX131" i="4"/>
  <c r="BW131" i="4"/>
  <c r="BV131" i="4"/>
  <c r="BS131" i="4"/>
  <c r="BK131" i="4"/>
  <c r="BE131" i="4"/>
  <c r="BD131" i="4"/>
  <c r="AP131" i="4"/>
  <c r="AO131" i="4"/>
  <c r="AN131" i="4"/>
  <c r="AM131" i="4"/>
  <c r="AK131" i="4"/>
  <c r="AJ131" i="4"/>
  <c r="AI131" i="4"/>
  <c r="AC131" i="4"/>
  <c r="AA131" i="4"/>
  <c r="Z131" i="4"/>
  <c r="V131" i="4"/>
  <c r="CH130" i="4"/>
  <c r="CG130" i="4"/>
  <c r="CF130" i="4"/>
  <c r="CC130" i="4"/>
  <c r="CB130" i="4"/>
  <c r="CA130" i="4"/>
  <c r="BW130" i="4"/>
  <c r="BV130" i="4"/>
  <c r="BK130" i="4"/>
  <c r="BG130" i="4"/>
  <c r="BE130" i="4"/>
  <c r="BD130" i="4"/>
  <c r="AP130" i="4"/>
  <c r="AO130" i="4"/>
  <c r="AM130" i="4"/>
  <c r="AK130" i="4"/>
  <c r="AJ130" i="4"/>
  <c r="AI130" i="4"/>
  <c r="AC130" i="4"/>
  <c r="V130" i="4"/>
  <c r="AE130" i="4" s="1"/>
  <c r="CH129" i="4"/>
  <c r="CG129" i="4"/>
  <c r="CF129" i="4"/>
  <c r="CD129" i="4"/>
  <c r="CC129" i="4"/>
  <c r="CB129" i="4"/>
  <c r="CA129" i="4"/>
  <c r="BZ129" i="4"/>
  <c r="BX129" i="4"/>
  <c r="BW129" i="4"/>
  <c r="BV129" i="4"/>
  <c r="BS129" i="4"/>
  <c r="BR129" i="4"/>
  <c r="BQ129" i="4"/>
  <c r="BK129" i="4"/>
  <c r="BH129" i="4"/>
  <c r="BG129" i="4"/>
  <c r="BE129" i="4"/>
  <c r="BD129" i="4"/>
  <c r="AP129" i="4"/>
  <c r="AM129" i="4"/>
  <c r="AL129" i="4"/>
  <c r="AK129" i="4"/>
  <c r="AJ129" i="4"/>
  <c r="AI129" i="4"/>
  <c r="AC129" i="4"/>
  <c r="Z129" i="4"/>
  <c r="V129" i="4"/>
  <c r="M129" i="4"/>
  <c r="CH128" i="4"/>
  <c r="CG128" i="4"/>
  <c r="CF128" i="4"/>
  <c r="CD128" i="4"/>
  <c r="CC128" i="4"/>
  <c r="CB128" i="4"/>
  <c r="CA128" i="4"/>
  <c r="BW128" i="4"/>
  <c r="BV128" i="4"/>
  <c r="BR128" i="4"/>
  <c r="BK128" i="4"/>
  <c r="BH128" i="4"/>
  <c r="BG128" i="4"/>
  <c r="BE128" i="4"/>
  <c r="BD128" i="4"/>
  <c r="AP128" i="4"/>
  <c r="AO128" i="4"/>
  <c r="AM128" i="4"/>
  <c r="AK128" i="4"/>
  <c r="AJ128" i="4"/>
  <c r="AI128" i="4"/>
  <c r="AC128" i="4"/>
  <c r="Z128" i="4"/>
  <c r="V128" i="4"/>
  <c r="AE128" i="4" s="1"/>
  <c r="CH127" i="4"/>
  <c r="CG127" i="4"/>
  <c r="CF127" i="4"/>
  <c r="CD127" i="4"/>
  <c r="CC127" i="4"/>
  <c r="CB127" i="4"/>
  <c r="CA127" i="4"/>
  <c r="BW127" i="4"/>
  <c r="BV127" i="4"/>
  <c r="BS127" i="4"/>
  <c r="BK127" i="4"/>
  <c r="BH127" i="4"/>
  <c r="BG127" i="4"/>
  <c r="BE127" i="4"/>
  <c r="BD127" i="4"/>
  <c r="AP127" i="4"/>
  <c r="AO127" i="4"/>
  <c r="AM127" i="4"/>
  <c r="AL127" i="4"/>
  <c r="AK127" i="4"/>
  <c r="AJ127" i="4"/>
  <c r="AI127" i="4"/>
  <c r="AC127" i="4"/>
  <c r="Z127" i="4"/>
  <c r="V127" i="4"/>
  <c r="AE127" i="4" s="1"/>
  <c r="M127" i="4"/>
  <c r="U127" i="4" s="1"/>
  <c r="CH126" i="4"/>
  <c r="CG126" i="4"/>
  <c r="CF126" i="4"/>
  <c r="CD126" i="4"/>
  <c r="CB126" i="4"/>
  <c r="CA126" i="4"/>
  <c r="BX126" i="4"/>
  <c r="BW126" i="4"/>
  <c r="BV126" i="4"/>
  <c r="BS126" i="4"/>
  <c r="BR126" i="4"/>
  <c r="BK126" i="4"/>
  <c r="BH126" i="4"/>
  <c r="BG126" i="4"/>
  <c r="BE126" i="4"/>
  <c r="BD126" i="4"/>
  <c r="AP126" i="4"/>
  <c r="AO126" i="4"/>
  <c r="AN126" i="4"/>
  <c r="AM126" i="4"/>
  <c r="AL126" i="4"/>
  <c r="AK126" i="4"/>
  <c r="AJ126" i="4"/>
  <c r="AI126" i="4"/>
  <c r="AC126" i="4"/>
  <c r="AA126" i="4"/>
  <c r="Z126" i="4"/>
  <c r="V126" i="4"/>
  <c r="CH125" i="4"/>
  <c r="CG125" i="4"/>
  <c r="CF125" i="4"/>
  <c r="CC125" i="4"/>
  <c r="CA125" i="4"/>
  <c r="BX125" i="4"/>
  <c r="BV125" i="4"/>
  <c r="BS125" i="4"/>
  <c r="BQ125" i="4"/>
  <c r="BG125" i="4"/>
  <c r="BE125" i="4"/>
  <c r="BD125" i="4"/>
  <c r="AP125" i="4"/>
  <c r="AO125" i="4"/>
  <c r="AN125" i="4"/>
  <c r="AM125" i="4"/>
  <c r="AL125" i="4"/>
  <c r="AK125" i="4"/>
  <c r="AJ125" i="4"/>
  <c r="AI125" i="4"/>
  <c r="AC125" i="4"/>
  <c r="AA125" i="4"/>
  <c r="Z125" i="4"/>
  <c r="V125" i="4"/>
  <c r="CH124" i="4"/>
  <c r="CG124" i="4"/>
  <c r="CF124" i="4"/>
  <c r="CD124" i="4"/>
  <c r="CA124" i="4"/>
  <c r="BX124" i="4"/>
  <c r="BW124" i="4"/>
  <c r="BV124" i="4"/>
  <c r="BS124" i="4"/>
  <c r="BR124" i="4"/>
  <c r="BO124" i="4"/>
  <c r="BK124" i="4"/>
  <c r="BH124" i="4"/>
  <c r="BG124" i="4"/>
  <c r="BE124" i="4"/>
  <c r="BD124" i="4"/>
  <c r="AP124" i="4"/>
  <c r="AO124" i="4"/>
  <c r="AM124" i="4"/>
  <c r="AK124" i="4"/>
  <c r="AJ124" i="4"/>
  <c r="AI124" i="4"/>
  <c r="AC124" i="4"/>
  <c r="AB124" i="4"/>
  <c r="AE124" i="4" s="1"/>
  <c r="AA124" i="4"/>
  <c r="V124" i="4"/>
  <c r="AR122" i="4"/>
  <c r="AQ122" i="4"/>
  <c r="AP122" i="4"/>
  <c r="AO122" i="4"/>
  <c r="AN122" i="4"/>
  <c r="AM122" i="4"/>
  <c r="AL122" i="4"/>
  <c r="AK122" i="4"/>
  <c r="AJ122" i="4"/>
  <c r="AI122" i="4"/>
  <c r="AH122" i="4"/>
  <c r="AF122" i="4"/>
  <c r="AB122" i="4"/>
  <c r="AE122" i="4" s="1"/>
  <c r="AA122" i="4"/>
  <c r="Z122" i="4"/>
  <c r="X122" i="4"/>
  <c r="V122" i="4"/>
  <c r="N122" i="4"/>
  <c r="M122" i="4"/>
  <c r="AR121" i="4"/>
  <c r="AQ121" i="4"/>
  <c r="AP121" i="4"/>
  <c r="AO121" i="4"/>
  <c r="AN121" i="4"/>
  <c r="AM121" i="4"/>
  <c r="AL121" i="4"/>
  <c r="AK121" i="4"/>
  <c r="AJ121" i="4"/>
  <c r="AI121" i="4"/>
  <c r="AF121" i="4"/>
  <c r="AC121" i="4"/>
  <c r="AB121" i="4"/>
  <c r="AA121" i="4"/>
  <c r="Z121" i="4"/>
  <c r="V121" i="4"/>
  <c r="M121" i="4"/>
  <c r="U121" i="4" s="1"/>
  <c r="AR120" i="4"/>
  <c r="AP120" i="4"/>
  <c r="AO120" i="4"/>
  <c r="AM120" i="4"/>
  <c r="AL120" i="4"/>
  <c r="AK120" i="4"/>
  <c r="AJ120" i="4"/>
  <c r="AI120" i="4"/>
  <c r="AF120" i="4"/>
  <c r="AB120" i="4"/>
  <c r="AA120" i="4"/>
  <c r="Z120" i="4"/>
  <c r="V120" i="4"/>
  <c r="M120" i="4"/>
  <c r="U120" i="4" s="1"/>
  <c r="AR119" i="4"/>
  <c r="AQ119" i="4"/>
  <c r="AP119" i="4"/>
  <c r="AO119" i="4"/>
  <c r="AN119" i="4"/>
  <c r="AM119" i="4"/>
  <c r="AL119" i="4"/>
  <c r="AK119" i="4"/>
  <c r="AJ119" i="4"/>
  <c r="AI119" i="4"/>
  <c r="AF119" i="4"/>
  <c r="AC119" i="4"/>
  <c r="AB119" i="4"/>
  <c r="AA119" i="4"/>
  <c r="Z119" i="4"/>
  <c r="V119" i="4"/>
  <c r="AE119" i="4" s="1"/>
  <c r="M119" i="4"/>
  <c r="U119" i="4" s="1"/>
  <c r="AR118" i="4"/>
  <c r="AP118" i="4"/>
  <c r="AM118" i="4"/>
  <c r="AL118" i="4"/>
  <c r="AK118" i="4"/>
  <c r="AJ118" i="4"/>
  <c r="AI118" i="4"/>
  <c r="V118" i="4"/>
  <c r="AE118" i="4" s="1"/>
  <c r="AR117" i="4"/>
  <c r="AP117" i="4"/>
  <c r="AO117" i="4"/>
  <c r="AM117" i="4"/>
  <c r="AL117" i="4"/>
  <c r="AK117" i="4"/>
  <c r="AJ117" i="4"/>
  <c r="AI117" i="4"/>
  <c r="AF117" i="4"/>
  <c r="AC117" i="4"/>
  <c r="Z117" i="4"/>
  <c r="V117" i="4"/>
  <c r="AE117" i="4" s="1"/>
  <c r="M117" i="4"/>
  <c r="U117" i="4" s="1"/>
  <c r="AR116" i="4"/>
  <c r="AP116" i="4"/>
  <c r="AO116" i="4"/>
  <c r="AM116" i="4"/>
  <c r="AL116" i="4"/>
  <c r="AK116" i="4"/>
  <c r="AJ116" i="4"/>
  <c r="AI116" i="4"/>
  <c r="AF116" i="4"/>
  <c r="AC116" i="4"/>
  <c r="V116" i="4"/>
  <c r="AE116" i="4" s="1"/>
  <c r="AR115" i="4"/>
  <c r="AP115" i="4"/>
  <c r="AO115" i="4"/>
  <c r="AM115" i="4"/>
  <c r="AL115" i="4"/>
  <c r="AK115" i="4"/>
  <c r="AJ115" i="4"/>
  <c r="AI115" i="4"/>
  <c r="AF115" i="4"/>
  <c r="AC115" i="4"/>
  <c r="AB115" i="4"/>
  <c r="AE115" i="4" s="1"/>
  <c r="AA115" i="4"/>
  <c r="V115" i="4"/>
  <c r="M115" i="4"/>
  <c r="AR114" i="4"/>
  <c r="AP114" i="4"/>
  <c r="AM114" i="4"/>
  <c r="AL114" i="4"/>
  <c r="AK114" i="4"/>
  <c r="AJ114" i="4"/>
  <c r="AI114" i="4"/>
  <c r="AF114" i="4"/>
  <c r="AC114" i="4"/>
  <c r="Z114" i="4"/>
  <c r="V114" i="4"/>
  <c r="AE114" i="4" s="1"/>
  <c r="AP113" i="4"/>
  <c r="AM113" i="4"/>
  <c r="AL113" i="4"/>
  <c r="AK113" i="4"/>
  <c r="AJ113" i="4"/>
  <c r="AI113" i="4"/>
  <c r="AC113" i="4"/>
  <c r="AB113" i="4"/>
  <c r="AA113" i="4"/>
  <c r="Z113" i="4"/>
  <c r="X113" i="4"/>
  <c r="V113" i="4"/>
  <c r="AR112" i="4"/>
  <c r="AP112" i="4"/>
  <c r="AM112" i="4"/>
  <c r="AL112" i="4"/>
  <c r="AK112" i="4"/>
  <c r="AJ112" i="4"/>
  <c r="AI112" i="4"/>
  <c r="AF112" i="4"/>
  <c r="AC112" i="4"/>
  <c r="AB112" i="4"/>
  <c r="AA112" i="4"/>
  <c r="Z112" i="4"/>
  <c r="V112" i="4"/>
  <c r="M112" i="4"/>
  <c r="AR111" i="4"/>
  <c r="AP111" i="4"/>
  <c r="AM111" i="4"/>
  <c r="AL111" i="4"/>
  <c r="AK111" i="4"/>
  <c r="AJ111" i="4"/>
  <c r="AI111" i="4"/>
  <c r="AC111" i="4"/>
  <c r="AB111" i="4"/>
  <c r="AA111" i="4"/>
  <c r="V111" i="4"/>
  <c r="AE111" i="4" s="1"/>
  <c r="AR110" i="4"/>
  <c r="AQ110" i="4"/>
  <c r="AP110" i="4"/>
  <c r="AO110" i="4"/>
  <c r="AM110" i="4"/>
  <c r="AL110" i="4"/>
  <c r="AK110" i="4"/>
  <c r="AJ110" i="4"/>
  <c r="AI110" i="4"/>
  <c r="AF110" i="4"/>
  <c r="AC110" i="4"/>
  <c r="AB110" i="4"/>
  <c r="AA110" i="4"/>
  <c r="Y110" i="4"/>
  <c r="X110" i="4"/>
  <c r="W110" i="4"/>
  <c r="V110" i="4"/>
  <c r="AP109" i="4"/>
  <c r="AM109" i="4"/>
  <c r="AL109" i="4"/>
  <c r="AK109" i="4"/>
  <c r="AJ109" i="4"/>
  <c r="AI109" i="4"/>
  <c r="AF109" i="4"/>
  <c r="AC109" i="4"/>
  <c r="AB109" i="4"/>
  <c r="AA109" i="4"/>
  <c r="V109" i="4"/>
  <c r="AR108" i="4"/>
  <c r="AP108" i="4"/>
  <c r="AO108" i="4"/>
  <c r="AM108" i="4"/>
  <c r="AL108" i="4"/>
  <c r="AK108" i="4"/>
  <c r="AJ108" i="4"/>
  <c r="AI108" i="4"/>
  <c r="AC108" i="4"/>
  <c r="AB108" i="4"/>
  <c r="AA108" i="4"/>
  <c r="Z108" i="4"/>
  <c r="V108" i="4"/>
  <c r="AE108" i="4" s="1"/>
  <c r="AR107" i="4"/>
  <c r="AP107" i="4"/>
  <c r="AO107" i="4"/>
  <c r="AM107" i="4"/>
  <c r="AL107" i="4"/>
  <c r="AK107" i="4"/>
  <c r="AJ107" i="4"/>
  <c r="AI107" i="4"/>
  <c r="AF107" i="4"/>
  <c r="AC107" i="4"/>
  <c r="Z107" i="4"/>
  <c r="V107" i="4"/>
  <c r="AR106" i="4"/>
  <c r="AP106" i="4"/>
  <c r="AO106" i="4"/>
  <c r="AM106" i="4"/>
  <c r="AL106" i="4"/>
  <c r="AK106" i="4"/>
  <c r="AJ106" i="4"/>
  <c r="AI106" i="4"/>
  <c r="AF106" i="4"/>
  <c r="AC106" i="4"/>
  <c r="AA106" i="4"/>
  <c r="Z106" i="4"/>
  <c r="V106" i="4"/>
  <c r="AE106" i="4" s="1"/>
  <c r="AR105" i="4"/>
  <c r="AP105" i="4"/>
  <c r="AM105" i="4"/>
  <c r="AL105" i="4"/>
  <c r="AK105" i="4"/>
  <c r="AJ105" i="4"/>
  <c r="AI105" i="4"/>
  <c r="AF105" i="4"/>
  <c r="AC105" i="4"/>
  <c r="AA105" i="4"/>
  <c r="Z105" i="4"/>
  <c r="X105" i="4"/>
  <c r="V105" i="4"/>
  <c r="AR104" i="4"/>
  <c r="AP104" i="4"/>
  <c r="AO104" i="4"/>
  <c r="AM104" i="4"/>
  <c r="AL104" i="4"/>
  <c r="AK104" i="4"/>
  <c r="AJ104" i="4"/>
  <c r="AI104" i="4"/>
  <c r="AF104" i="4"/>
  <c r="AC104" i="4"/>
  <c r="AA104" i="4"/>
  <c r="Z104" i="4"/>
  <c r="V104" i="4"/>
  <c r="AR103" i="4"/>
  <c r="AP103" i="4"/>
  <c r="AM103" i="4"/>
  <c r="AL103" i="4"/>
  <c r="AK103" i="4"/>
  <c r="AJ103" i="4"/>
  <c r="AI103" i="4"/>
  <c r="AF103" i="4"/>
  <c r="AC103" i="4"/>
  <c r="AB103" i="4"/>
  <c r="AA103" i="4"/>
  <c r="Z103" i="4"/>
  <c r="X103" i="4"/>
  <c r="V103" i="4"/>
  <c r="AE103" i="4" s="1"/>
  <c r="M103" i="4"/>
  <c r="U103" i="4" s="1"/>
  <c r="AR102" i="4"/>
  <c r="AP102" i="4"/>
  <c r="AO102" i="4"/>
  <c r="AM102" i="4"/>
  <c r="AL102" i="4"/>
  <c r="AK102" i="4"/>
  <c r="AJ102" i="4"/>
  <c r="AI102" i="4"/>
  <c r="AC102" i="4"/>
  <c r="AB102" i="4"/>
  <c r="AA102" i="4"/>
  <c r="Z102" i="4"/>
  <c r="X102" i="4"/>
  <c r="V102" i="4"/>
  <c r="AE102" i="4" s="1"/>
  <c r="AR101" i="4"/>
  <c r="AP101" i="4"/>
  <c r="AO101" i="4"/>
  <c r="AM101" i="4"/>
  <c r="AL101" i="4"/>
  <c r="AK101" i="4"/>
  <c r="AJ101" i="4"/>
  <c r="AI101" i="4"/>
  <c r="AF101" i="4"/>
  <c r="AC101" i="4"/>
  <c r="AA101" i="4"/>
  <c r="Z101" i="4"/>
  <c r="X101" i="4"/>
  <c r="V101" i="4"/>
  <c r="AE101" i="4" s="1"/>
  <c r="AR100" i="4"/>
  <c r="AP100" i="4"/>
  <c r="AO100" i="4"/>
  <c r="AM100" i="4"/>
  <c r="AL100" i="4"/>
  <c r="AK100" i="4"/>
  <c r="AJ100" i="4"/>
  <c r="AI100" i="4"/>
  <c r="AF100" i="4"/>
  <c r="AC100" i="4"/>
  <c r="AA100" i="4"/>
  <c r="AE100" i="4" s="1"/>
  <c r="Z100" i="4"/>
  <c r="V100" i="4"/>
  <c r="AW98" i="4"/>
  <c r="AV98" i="4"/>
  <c r="AU98" i="4"/>
  <c r="AT98" i="4"/>
  <c r="AS98" i="4"/>
  <c r="AR98" i="4"/>
  <c r="AQ98" i="4"/>
  <c r="AO98" i="4"/>
  <c r="AN98" i="4"/>
  <c r="AM98" i="4"/>
  <c r="AL98" i="4"/>
  <c r="AI98" i="4"/>
  <c r="AC98" i="4"/>
  <c r="AB98" i="4"/>
  <c r="AA98" i="4"/>
  <c r="Z98" i="4"/>
  <c r="X98" i="4"/>
  <c r="V98" i="4"/>
  <c r="AW97" i="4"/>
  <c r="AR97" i="4"/>
  <c r="AM97" i="4"/>
  <c r="AL97" i="4"/>
  <c r="AI97" i="4"/>
  <c r="AC97" i="4"/>
  <c r="AW96" i="4"/>
  <c r="AU96" i="4"/>
  <c r="AT96" i="4"/>
  <c r="AS96" i="4"/>
  <c r="AR96" i="4"/>
  <c r="AO96" i="4"/>
  <c r="AM96" i="4"/>
  <c r="AL96" i="4"/>
  <c r="AI96" i="4"/>
  <c r="AC96" i="4"/>
  <c r="AW95" i="4"/>
  <c r="AV95" i="4"/>
  <c r="AU95" i="4"/>
  <c r="AO95" i="4"/>
  <c r="AM95" i="4"/>
  <c r="AL95" i="4"/>
  <c r="AI95" i="4"/>
  <c r="AC95" i="4"/>
  <c r="Z95" i="4"/>
  <c r="AW94" i="4"/>
  <c r="AV94" i="4"/>
  <c r="AU94" i="4"/>
  <c r="AT94" i="4"/>
  <c r="AS94" i="4"/>
  <c r="AR94" i="4"/>
  <c r="AQ94" i="4"/>
  <c r="AO94" i="4"/>
  <c r="AM94" i="4"/>
  <c r="AL94" i="4"/>
  <c r="AI94" i="4"/>
  <c r="AF94" i="4"/>
  <c r="AC94" i="4"/>
  <c r="AB94" i="4"/>
  <c r="AA94" i="4"/>
  <c r="Z94" i="4"/>
  <c r="X94" i="4"/>
  <c r="V94" i="4"/>
  <c r="N94" i="4"/>
  <c r="U94" i="4" s="1"/>
  <c r="AW93" i="4"/>
  <c r="AV93" i="4"/>
  <c r="AR93" i="4"/>
  <c r="AM93" i="4"/>
  <c r="AL93" i="4"/>
  <c r="AI93" i="4"/>
  <c r="Z93" i="4"/>
  <c r="V93" i="4"/>
  <c r="AE93" i="4" s="1"/>
  <c r="AW92" i="4"/>
  <c r="AU92" i="4"/>
  <c r="AO92" i="4"/>
  <c r="AM92" i="4"/>
  <c r="AL92" i="4"/>
  <c r="AI92" i="4"/>
  <c r="AC92" i="4"/>
  <c r="AW91" i="4"/>
  <c r="AU91" i="4"/>
  <c r="AT91" i="4"/>
  <c r="AS91" i="4"/>
  <c r="AR91" i="4"/>
  <c r="AO91" i="4"/>
  <c r="AM91" i="4"/>
  <c r="AL91" i="4"/>
  <c r="AI91" i="4"/>
  <c r="AC91" i="4"/>
  <c r="Z91" i="4"/>
  <c r="AW90" i="4"/>
  <c r="AU90" i="4"/>
  <c r="AT90" i="4"/>
  <c r="AS90" i="4"/>
  <c r="AR90" i="4"/>
  <c r="AM90" i="4"/>
  <c r="AL90" i="4"/>
  <c r="AI90" i="4"/>
  <c r="AC90" i="4"/>
  <c r="AW89" i="4"/>
  <c r="AU89" i="4"/>
  <c r="AT89" i="4"/>
  <c r="AS89" i="4"/>
  <c r="AR89" i="4"/>
  <c r="AQ89" i="4"/>
  <c r="AO89" i="4"/>
  <c r="AN89" i="4"/>
  <c r="AM89" i="4"/>
  <c r="AL89" i="4"/>
  <c r="AI89" i="4"/>
  <c r="AC89" i="4"/>
  <c r="Z89" i="4"/>
  <c r="AW88" i="4"/>
  <c r="AU88" i="4"/>
  <c r="AT88" i="4"/>
  <c r="AS88" i="4"/>
  <c r="AR88" i="4"/>
  <c r="AM88" i="4"/>
  <c r="AL88" i="4"/>
  <c r="AI88" i="4"/>
  <c r="AF88" i="4"/>
  <c r="AC88" i="4"/>
  <c r="AW87" i="4"/>
  <c r="AV87" i="4"/>
  <c r="AU87" i="4"/>
  <c r="AT87" i="4"/>
  <c r="AS87" i="4"/>
  <c r="AR87" i="4"/>
  <c r="AO87" i="4"/>
  <c r="AM87" i="4"/>
  <c r="AL87" i="4"/>
  <c r="AI87" i="4"/>
  <c r="AC87" i="4"/>
  <c r="AW86" i="4"/>
  <c r="AV86" i="4"/>
  <c r="AU86" i="4"/>
  <c r="AT86" i="4"/>
  <c r="AR86" i="4"/>
  <c r="AO86" i="4"/>
  <c r="AM86" i="4"/>
  <c r="AL86" i="4"/>
  <c r="AI86" i="4"/>
  <c r="AW85" i="4"/>
  <c r="AU85" i="4"/>
  <c r="AT85" i="4"/>
  <c r="AR85" i="4"/>
  <c r="AM85" i="4"/>
  <c r="AL85" i="4"/>
  <c r="AI85" i="4"/>
  <c r="AW84" i="4"/>
  <c r="AV84" i="4"/>
  <c r="AU84" i="4"/>
  <c r="AT84" i="4"/>
  <c r="AS84" i="4"/>
  <c r="AR84" i="4"/>
  <c r="AQ84" i="4"/>
  <c r="AO84" i="4"/>
  <c r="AN84" i="4"/>
  <c r="AM84" i="4"/>
  <c r="AL84" i="4"/>
  <c r="AI84" i="4"/>
  <c r="V84" i="4"/>
  <c r="AW83" i="4"/>
  <c r="AV83" i="4"/>
  <c r="AU83" i="4"/>
  <c r="AT83" i="4"/>
  <c r="AS83" i="4"/>
  <c r="AR83" i="4"/>
  <c r="AM83" i="4"/>
  <c r="AL83" i="4"/>
  <c r="AI83" i="4"/>
  <c r="V83" i="4"/>
  <c r="AE83" i="4" s="1"/>
  <c r="AW82" i="4"/>
  <c r="AV82" i="4"/>
  <c r="AR82" i="4"/>
  <c r="AO82" i="4"/>
  <c r="AN82" i="4"/>
  <c r="AM82" i="4"/>
  <c r="AL82" i="4"/>
  <c r="AI82" i="4"/>
  <c r="AF82" i="4"/>
  <c r="AC82" i="4"/>
  <c r="Z82" i="4"/>
  <c r="V82" i="4"/>
  <c r="AE82" i="4" s="1"/>
  <c r="AV81" i="4"/>
  <c r="AU81" i="4"/>
  <c r="AT81" i="4"/>
  <c r="AR81" i="4"/>
  <c r="AM81" i="4"/>
  <c r="AL81" i="4"/>
  <c r="AI81" i="4"/>
  <c r="AC81" i="4"/>
  <c r="Z81" i="4"/>
  <c r="V81" i="4"/>
  <c r="M81" i="4"/>
  <c r="U81" i="4" s="1"/>
  <c r="AW80" i="4"/>
  <c r="AV80" i="4"/>
  <c r="AR80" i="4"/>
  <c r="AL80" i="4"/>
  <c r="AI80" i="4"/>
  <c r="AC80" i="4"/>
  <c r="Z80" i="4"/>
  <c r="V80" i="4"/>
  <c r="AE80" i="4" s="1"/>
  <c r="AV79" i="4"/>
  <c r="AU79" i="4"/>
  <c r="AT79" i="4"/>
  <c r="AR79" i="4"/>
  <c r="AO79" i="4"/>
  <c r="AM79" i="4"/>
  <c r="AL79" i="4"/>
  <c r="AI79" i="4"/>
  <c r="AC79" i="4"/>
  <c r="Z79" i="4"/>
  <c r="V79" i="4"/>
  <c r="AE79" i="4" s="1"/>
  <c r="AW78" i="4"/>
  <c r="AV78" i="4"/>
  <c r="AU78" i="4"/>
  <c r="AT78" i="4"/>
  <c r="AR78" i="4"/>
  <c r="AO78" i="4"/>
  <c r="AN78" i="4"/>
  <c r="AM78" i="4"/>
  <c r="AL78" i="4"/>
  <c r="AF78" i="4"/>
  <c r="AC78" i="4"/>
  <c r="Z78" i="4"/>
  <c r="V78" i="4"/>
  <c r="AW77" i="4"/>
  <c r="AV77" i="4"/>
  <c r="AR77" i="4"/>
  <c r="AL77" i="4"/>
  <c r="AI77" i="4"/>
  <c r="AC77" i="4"/>
  <c r="Z77" i="4"/>
  <c r="V77" i="4"/>
  <c r="AE77" i="4" s="1"/>
  <c r="AV76" i="4"/>
  <c r="AR76" i="4"/>
  <c r="AO76" i="4"/>
  <c r="AM76" i="4"/>
  <c r="AL76" i="4"/>
  <c r="AI76" i="4"/>
  <c r="AC76" i="4"/>
  <c r="Z76" i="4"/>
  <c r="V76" i="4"/>
  <c r="AE76" i="4" s="1"/>
  <c r="AW75" i="4"/>
  <c r="AV75" i="4"/>
  <c r="AR75" i="4"/>
  <c r="AM75" i="4"/>
  <c r="AL75" i="4"/>
  <c r="AI75" i="4"/>
  <c r="AC75" i="4"/>
  <c r="Z75" i="4"/>
  <c r="V75" i="4"/>
  <c r="AE75" i="4" s="1"/>
  <c r="M75" i="4"/>
  <c r="U75" i="4" s="1"/>
  <c r="AW74" i="4"/>
  <c r="AV74" i="4"/>
  <c r="AR74" i="4"/>
  <c r="AL74" i="4"/>
  <c r="AI74" i="4"/>
  <c r="AC74" i="4"/>
  <c r="Z74" i="4"/>
  <c r="V74" i="4"/>
  <c r="M74" i="4"/>
  <c r="T74" i="4" s="1"/>
  <c r="AV73" i="4"/>
  <c r="AM73" i="4"/>
  <c r="AL73" i="4"/>
  <c r="AI73" i="4"/>
  <c r="AC73" i="4"/>
  <c r="Z73" i="4"/>
  <c r="V73" i="4"/>
  <c r="AE73" i="4" s="1"/>
  <c r="AW72" i="4"/>
  <c r="AV72" i="4"/>
  <c r="AU72" i="4"/>
  <c r="AR72" i="4"/>
  <c r="AO72" i="4"/>
  <c r="AM72" i="4"/>
  <c r="AL72" i="4"/>
  <c r="AI72" i="4"/>
  <c r="AF72" i="4"/>
  <c r="AB72" i="4"/>
  <c r="AA72" i="4"/>
  <c r="Z72" i="4"/>
  <c r="X72" i="4"/>
  <c r="V72" i="4"/>
  <c r="AW71" i="4"/>
  <c r="AV71" i="4"/>
  <c r="AR71" i="4"/>
  <c r="AM71" i="4"/>
  <c r="AL71" i="4"/>
  <c r="AI71" i="4"/>
  <c r="AC71" i="4"/>
  <c r="Z71" i="4"/>
  <c r="AW70" i="4"/>
  <c r="AV70" i="4"/>
  <c r="AR70" i="4"/>
  <c r="AO70" i="4"/>
  <c r="AM70" i="4"/>
  <c r="AL70" i="4"/>
  <c r="AI70" i="4"/>
  <c r="AC70" i="4"/>
  <c r="AB70" i="4"/>
  <c r="AA70" i="4"/>
  <c r="Z70" i="4"/>
  <c r="V70" i="4"/>
  <c r="AE70" i="4" s="1"/>
  <c r="AV69" i="4"/>
  <c r="AR69" i="4"/>
  <c r="AL69" i="4"/>
  <c r="AI69" i="4"/>
  <c r="AC69" i="4"/>
  <c r="Z69" i="4"/>
  <c r="V69" i="4"/>
  <c r="AE69" i="4" s="1"/>
  <c r="AW68" i="4"/>
  <c r="AV68" i="4"/>
  <c r="AR68" i="4"/>
  <c r="AO68" i="4"/>
  <c r="AM68" i="4"/>
  <c r="AL68" i="4"/>
  <c r="AI68" i="4"/>
  <c r="AC68" i="4"/>
  <c r="Z68" i="4"/>
  <c r="V68" i="4"/>
  <c r="AE68" i="4" s="1"/>
  <c r="AW67" i="4"/>
  <c r="AV67" i="4"/>
  <c r="AR67" i="4"/>
  <c r="AO67" i="4"/>
  <c r="AM67" i="4"/>
  <c r="AL67" i="4"/>
  <c r="AI67" i="4"/>
  <c r="AC67" i="4"/>
  <c r="Z67" i="4"/>
  <c r="AW66" i="4"/>
  <c r="AV66" i="4"/>
  <c r="AU66" i="4"/>
  <c r="AR66" i="4"/>
  <c r="AM66" i="4"/>
  <c r="AL66" i="4"/>
  <c r="AK66" i="4"/>
  <c r="AI66" i="4"/>
  <c r="AB66" i="4"/>
  <c r="Z66" i="4"/>
  <c r="V66" i="4"/>
  <c r="AE66" i="4" s="1"/>
  <c r="AW65" i="4"/>
  <c r="AV65" i="4"/>
  <c r="AU65" i="4"/>
  <c r="AR65" i="4"/>
  <c r="AM65" i="4"/>
  <c r="AL65" i="4"/>
  <c r="AK65" i="4"/>
  <c r="AI65" i="4"/>
  <c r="Z65" i="4"/>
  <c r="V65" i="4"/>
  <c r="AW64" i="4"/>
  <c r="AV64" i="4"/>
  <c r="AU64" i="4"/>
  <c r="AR64" i="4"/>
  <c r="AM64" i="4"/>
  <c r="AL64" i="4"/>
  <c r="AK64" i="4"/>
  <c r="AI64" i="4"/>
  <c r="AB64" i="4"/>
  <c r="AA64" i="4"/>
  <c r="Z64" i="4"/>
  <c r="V64" i="4"/>
  <c r="AW63" i="4"/>
  <c r="AV63" i="4"/>
  <c r="AU63" i="4"/>
  <c r="AR63" i="4"/>
  <c r="AM63" i="4"/>
  <c r="AL63" i="4"/>
  <c r="AK63" i="4"/>
  <c r="AI63" i="4"/>
  <c r="AC63" i="4"/>
  <c r="Z63" i="4"/>
  <c r="V63" i="4"/>
  <c r="AW62" i="4"/>
  <c r="AV62" i="4"/>
  <c r="AU62" i="4"/>
  <c r="AR62" i="4"/>
  <c r="AL62" i="4"/>
  <c r="AK62" i="4"/>
  <c r="AI62" i="4"/>
  <c r="AC62" i="4"/>
  <c r="AB62" i="4"/>
  <c r="Z62" i="4"/>
  <c r="V62" i="4"/>
  <c r="AW61" i="4"/>
  <c r="AV61" i="4"/>
  <c r="AU61" i="4"/>
  <c r="AR61" i="4"/>
  <c r="AL61" i="4"/>
  <c r="AK61" i="4"/>
  <c r="AI61" i="4"/>
  <c r="AF61" i="4"/>
  <c r="AC61" i="4"/>
  <c r="Z61" i="4"/>
  <c r="V61" i="4"/>
  <c r="AW60" i="4"/>
  <c r="AV60" i="4"/>
  <c r="AU60" i="4"/>
  <c r="AT60" i="4"/>
  <c r="AR60" i="4"/>
  <c r="AO60" i="4"/>
  <c r="AL60" i="4"/>
  <c r="AK60" i="4"/>
  <c r="AI60" i="4"/>
  <c r="AC60" i="4"/>
  <c r="Z60" i="4"/>
  <c r="V60" i="4"/>
  <c r="AE60" i="4" s="1"/>
  <c r="AW59" i="4"/>
  <c r="AV59" i="4"/>
  <c r="AU59" i="4"/>
  <c r="AR59" i="4"/>
  <c r="AL59" i="4"/>
  <c r="AK59" i="4"/>
  <c r="AI59" i="4"/>
  <c r="AF59" i="4"/>
  <c r="AC59" i="4"/>
  <c r="AB59" i="4"/>
  <c r="Z59" i="4"/>
  <c r="X59" i="4"/>
  <c r="V59" i="4"/>
  <c r="AV58" i="4"/>
  <c r="AR58" i="4"/>
  <c r="AM58" i="4"/>
  <c r="AL58" i="4"/>
  <c r="AK58" i="4"/>
  <c r="AI58" i="4"/>
  <c r="AC58" i="4"/>
  <c r="Z58" i="4"/>
  <c r="V58" i="4"/>
  <c r="AE58" i="4" s="1"/>
  <c r="AW57" i="4"/>
  <c r="AV57" i="4"/>
  <c r="AU57" i="4"/>
  <c r="AT57" i="4"/>
  <c r="AS57" i="4"/>
  <c r="AR57" i="4"/>
  <c r="AO57" i="4"/>
  <c r="AM57" i="4"/>
  <c r="AL57" i="4"/>
  <c r="AK57" i="4"/>
  <c r="AI57" i="4"/>
  <c r="AF57" i="4"/>
  <c r="AC57" i="4"/>
  <c r="AB57" i="4"/>
  <c r="AA57" i="4"/>
  <c r="Z57" i="4"/>
  <c r="V57" i="4"/>
  <c r="AE57" i="4" s="1"/>
  <c r="AW56" i="4"/>
  <c r="AV56" i="4"/>
  <c r="AU56" i="4"/>
  <c r="AR56" i="4"/>
  <c r="AL56" i="4"/>
  <c r="AK56" i="4"/>
  <c r="AI56" i="4"/>
  <c r="AF56" i="4"/>
  <c r="AC56" i="4"/>
  <c r="AB56" i="4"/>
  <c r="AA56" i="4"/>
  <c r="Z56" i="4"/>
  <c r="V56" i="4"/>
  <c r="AW55" i="4"/>
  <c r="AV55" i="4"/>
  <c r="AR55" i="4"/>
  <c r="AM55" i="4"/>
  <c r="AL55" i="4"/>
  <c r="AK55" i="4"/>
  <c r="AI55" i="4"/>
  <c r="AF55" i="4"/>
  <c r="AC55" i="4"/>
  <c r="AB55" i="4"/>
  <c r="Z55" i="4"/>
  <c r="V55" i="4"/>
  <c r="AE55" i="4" s="1"/>
  <c r="AW54" i="4"/>
  <c r="AV54" i="4"/>
  <c r="AU54" i="4"/>
  <c r="AT54" i="4"/>
  <c r="AS54" i="4"/>
  <c r="AR54" i="4"/>
  <c r="AO54" i="4"/>
  <c r="AM54" i="4"/>
  <c r="AL54" i="4"/>
  <c r="AK54" i="4"/>
  <c r="AI54" i="4"/>
  <c r="AF54" i="4"/>
  <c r="AC54" i="4"/>
  <c r="AB54" i="4"/>
  <c r="AA54" i="4"/>
  <c r="Z54" i="4"/>
  <c r="V54" i="4"/>
  <c r="AE54" i="4" s="1"/>
  <c r="AW53" i="4"/>
  <c r="AV53" i="4"/>
  <c r="AU53" i="4"/>
  <c r="AT53" i="4"/>
  <c r="AR53" i="4"/>
  <c r="AM53" i="4"/>
  <c r="AL53" i="4"/>
  <c r="AK53" i="4"/>
  <c r="AI53" i="4"/>
  <c r="AF53" i="4"/>
  <c r="AC53" i="4"/>
  <c r="AB53" i="4"/>
  <c r="V53" i="4"/>
  <c r="AW52" i="4"/>
  <c r="AV52" i="4"/>
  <c r="AR52" i="4"/>
  <c r="AO52" i="4"/>
  <c r="AM52" i="4"/>
  <c r="AL52" i="4"/>
  <c r="AK52" i="4"/>
  <c r="AI52" i="4"/>
  <c r="AF52" i="4"/>
  <c r="AC52" i="4"/>
  <c r="V52" i="4"/>
  <c r="AE52" i="4" s="1"/>
  <c r="AW51" i="4"/>
  <c r="AV51" i="4"/>
  <c r="AU51" i="4"/>
  <c r="AT51" i="4"/>
  <c r="AR51" i="4"/>
  <c r="AM51" i="4"/>
  <c r="AL51" i="4"/>
  <c r="AK51" i="4"/>
  <c r="AI51" i="4"/>
  <c r="AF51" i="4"/>
  <c r="AC51" i="4"/>
  <c r="V51" i="4"/>
  <c r="AE51" i="4" s="1"/>
  <c r="AW50" i="4"/>
  <c r="AV50" i="4"/>
  <c r="AR50" i="4"/>
  <c r="AM50" i="4"/>
  <c r="AL50" i="4"/>
  <c r="AK50" i="4"/>
  <c r="AI50" i="4"/>
  <c r="AF50" i="4"/>
  <c r="AC50" i="4"/>
  <c r="AB50" i="4"/>
  <c r="AA50" i="4"/>
  <c r="Z50" i="4"/>
  <c r="V50" i="4"/>
  <c r="AW49" i="4"/>
  <c r="AV49" i="4"/>
  <c r="AR49" i="4"/>
  <c r="AM49" i="4"/>
  <c r="AL49" i="4"/>
  <c r="AK49" i="4"/>
  <c r="AI49" i="4"/>
  <c r="AF49" i="4"/>
  <c r="AC49" i="4"/>
  <c r="AB49" i="4"/>
  <c r="V49" i="4"/>
  <c r="AW48" i="4"/>
  <c r="AV48" i="4"/>
  <c r="AR48" i="4"/>
  <c r="AL48" i="4"/>
  <c r="AI48" i="4"/>
  <c r="AF48" i="4"/>
  <c r="AC48" i="4"/>
  <c r="AB48" i="4"/>
  <c r="Z48" i="4"/>
  <c r="V48" i="4"/>
  <c r="BB47" i="4"/>
  <c r="BA47" i="4"/>
  <c r="AZ47" i="4"/>
  <c r="AY47" i="4"/>
  <c r="AX47" i="4"/>
  <c r="AW47" i="4"/>
  <c r="AV47" i="4"/>
  <c r="AR47" i="4"/>
  <c r="AL47" i="4"/>
  <c r="AK47" i="4"/>
  <c r="AI47" i="4"/>
  <c r="AC47" i="4"/>
  <c r="V47" i="4"/>
  <c r="AE47" i="4" s="1"/>
  <c r="BB46" i="4"/>
  <c r="BA46" i="4"/>
  <c r="AZ46" i="4"/>
  <c r="AY46" i="4"/>
  <c r="AX46" i="4"/>
  <c r="AW46" i="4"/>
  <c r="AV46" i="4"/>
  <c r="AU46" i="4"/>
  <c r="AT46" i="4"/>
  <c r="AR46" i="4"/>
  <c r="AL46" i="4"/>
  <c r="AK46" i="4"/>
  <c r="AJ46" i="4"/>
  <c r="AI46" i="4"/>
  <c r="AC46" i="4"/>
  <c r="AB46" i="4"/>
  <c r="V46" i="4"/>
  <c r="M46" i="4"/>
  <c r="U46" i="4" s="1"/>
  <c r="BB45" i="4"/>
  <c r="BA45" i="4"/>
  <c r="AZ45" i="4"/>
  <c r="AY45" i="4"/>
  <c r="AX45" i="4"/>
  <c r="AW45" i="4"/>
  <c r="AV45" i="4"/>
  <c r="AU45" i="4"/>
  <c r="AT45" i="4"/>
  <c r="AR45" i="4"/>
  <c r="AM45" i="4"/>
  <c r="AL45" i="4"/>
  <c r="AK45" i="4"/>
  <c r="AJ45" i="4"/>
  <c r="AI45" i="4"/>
  <c r="AC45" i="4"/>
  <c r="AB45" i="4"/>
  <c r="AA45" i="4"/>
  <c r="V45" i="4"/>
  <c r="M45" i="4"/>
  <c r="U45" i="4" s="1"/>
  <c r="BB44" i="4"/>
  <c r="BA44" i="4"/>
  <c r="AZ44" i="4"/>
  <c r="AY44" i="4"/>
  <c r="AX44" i="4"/>
  <c r="AW44" i="4"/>
  <c r="AV44" i="4"/>
  <c r="AU44" i="4"/>
  <c r="AT44" i="4"/>
  <c r="AR44" i="4"/>
  <c r="AL44" i="4"/>
  <c r="AK44" i="4"/>
  <c r="AI44" i="4"/>
  <c r="AC44" i="4"/>
  <c r="AB44" i="4"/>
  <c r="AA44" i="4"/>
  <c r="Z44" i="4"/>
  <c r="V44" i="4"/>
  <c r="BB43" i="4"/>
  <c r="BA43" i="4"/>
  <c r="AZ43" i="4"/>
  <c r="AY43" i="4"/>
  <c r="AX43" i="4"/>
  <c r="AW43" i="4"/>
  <c r="AV43" i="4"/>
  <c r="AU43" i="4"/>
  <c r="AR43" i="4"/>
  <c r="AL43" i="4"/>
  <c r="AK43" i="4"/>
  <c r="AI43" i="4"/>
  <c r="AC43" i="4"/>
  <c r="AB43" i="4"/>
  <c r="AA43" i="4"/>
  <c r="V43" i="4"/>
  <c r="AE43" i="4" s="1"/>
  <c r="M43" i="4"/>
  <c r="U43" i="4" s="1"/>
  <c r="BB42" i="4"/>
  <c r="BA42" i="4"/>
  <c r="AZ42" i="4"/>
  <c r="AY42" i="4"/>
  <c r="AX42" i="4"/>
  <c r="AW42" i="4"/>
  <c r="AV42" i="4"/>
  <c r="AU42" i="4"/>
  <c r="AR42" i="4"/>
  <c r="AM42" i="4"/>
  <c r="AL42" i="4"/>
  <c r="AK42" i="4"/>
  <c r="AI42" i="4"/>
  <c r="AC42" i="4"/>
  <c r="AB42" i="4"/>
  <c r="AA42" i="4"/>
  <c r="V42" i="4"/>
  <c r="AE42" i="4" s="1"/>
  <c r="BB41" i="4"/>
  <c r="BA41" i="4"/>
  <c r="AZ41" i="4"/>
  <c r="AY41" i="4"/>
  <c r="AX41" i="4"/>
  <c r="AW41" i="4"/>
  <c r="AV41" i="4"/>
  <c r="AU41" i="4"/>
  <c r="AT41" i="4"/>
  <c r="AR41" i="4"/>
  <c r="AO41" i="4"/>
  <c r="AL41" i="4"/>
  <c r="AK41" i="4"/>
  <c r="AJ41" i="4"/>
  <c r="AI41" i="4"/>
  <c r="AC41" i="4"/>
  <c r="V41" i="4"/>
  <c r="AE41" i="4" s="1"/>
  <c r="BB40" i="4"/>
  <c r="BA40" i="4"/>
  <c r="AZ40" i="4"/>
  <c r="AY40" i="4"/>
  <c r="AX40" i="4"/>
  <c r="AW40" i="4"/>
  <c r="AV40" i="4"/>
  <c r="AR40" i="4"/>
  <c r="AO40" i="4"/>
  <c r="AM40" i="4"/>
  <c r="AL40" i="4"/>
  <c r="AK40" i="4"/>
  <c r="AI40" i="4"/>
  <c r="AC40" i="4"/>
  <c r="Z40" i="4"/>
  <c r="V40" i="4"/>
  <c r="AE40" i="4" s="1"/>
  <c r="BB39" i="4"/>
  <c r="BA39" i="4"/>
  <c r="AZ39" i="4"/>
  <c r="AY39" i="4"/>
  <c r="AX39" i="4"/>
  <c r="AW39" i="4"/>
  <c r="AV39" i="4"/>
  <c r="AU39" i="4"/>
  <c r="AR39" i="4"/>
  <c r="AL39" i="4"/>
  <c r="AK39" i="4"/>
  <c r="AJ39" i="4"/>
  <c r="AI39" i="4"/>
  <c r="AC39" i="4"/>
  <c r="AB39" i="4"/>
  <c r="AA39" i="4"/>
  <c r="Z39" i="4"/>
  <c r="V39" i="4"/>
  <c r="AE39" i="4" s="1"/>
  <c r="BB38" i="4"/>
  <c r="BA38" i="4"/>
  <c r="AZ38" i="4"/>
  <c r="AY38" i="4"/>
  <c r="AX38" i="4"/>
  <c r="AW38" i="4"/>
  <c r="AV38" i="4"/>
  <c r="AU38" i="4"/>
  <c r="AT38" i="4"/>
  <c r="AR38" i="4"/>
  <c r="AO38" i="4"/>
  <c r="AM38" i="4"/>
  <c r="AL38" i="4"/>
  <c r="AK38" i="4"/>
  <c r="AI38" i="4"/>
  <c r="AC38" i="4"/>
  <c r="AB38" i="4"/>
  <c r="AA38" i="4"/>
  <c r="Z38" i="4"/>
  <c r="V38" i="4"/>
  <c r="BB37" i="4"/>
  <c r="BA37" i="4"/>
  <c r="AZ37" i="4"/>
  <c r="AY37" i="4"/>
  <c r="AX37" i="4"/>
  <c r="AW37" i="4"/>
  <c r="AV37" i="4"/>
  <c r="AU37" i="4"/>
  <c r="AT37" i="4"/>
  <c r="AS37" i="4"/>
  <c r="AR37" i="4"/>
  <c r="AO37" i="4"/>
  <c r="AM37" i="4"/>
  <c r="AL37" i="4"/>
  <c r="AK37" i="4"/>
  <c r="AJ37" i="4"/>
  <c r="AI37" i="4"/>
  <c r="AC37" i="4"/>
  <c r="AB37" i="4"/>
  <c r="AA37" i="4"/>
  <c r="Z37" i="4"/>
  <c r="V37" i="4"/>
  <c r="BB36" i="4"/>
  <c r="BA36" i="4"/>
  <c r="AZ36" i="4"/>
  <c r="AY36" i="4"/>
  <c r="AX36" i="4"/>
  <c r="AW36" i="4"/>
  <c r="AV36" i="4"/>
  <c r="AU36" i="4"/>
  <c r="AR36" i="4"/>
  <c r="AM36" i="4"/>
  <c r="AL36" i="4"/>
  <c r="AK36" i="4"/>
  <c r="AI36" i="4"/>
  <c r="AC36" i="4"/>
  <c r="AB36" i="4"/>
  <c r="AA36" i="4"/>
  <c r="Z36" i="4"/>
  <c r="V36" i="4"/>
  <c r="BB35" i="4"/>
  <c r="BA35" i="4"/>
  <c r="AZ35" i="4"/>
  <c r="AY35" i="4"/>
  <c r="AX35" i="4"/>
  <c r="AW35" i="4"/>
  <c r="AV35" i="4"/>
  <c r="AU35" i="4"/>
  <c r="AR35" i="4"/>
  <c r="AM35" i="4"/>
  <c r="AL35" i="4"/>
  <c r="AK35" i="4"/>
  <c r="AI35" i="4"/>
  <c r="AC35" i="4"/>
  <c r="V35" i="4"/>
  <c r="BB34" i="4"/>
  <c r="BA34" i="4"/>
  <c r="AZ34" i="4"/>
  <c r="AY34" i="4"/>
  <c r="AX34" i="4"/>
  <c r="AW34" i="4"/>
  <c r="AV34" i="4"/>
  <c r="AU34" i="4"/>
  <c r="AR34" i="4"/>
  <c r="AM34" i="4"/>
  <c r="AL34" i="4"/>
  <c r="AK34" i="4"/>
  <c r="AJ34" i="4"/>
  <c r="AI34" i="4"/>
  <c r="AC34" i="4"/>
  <c r="AB34" i="4"/>
  <c r="AA34" i="4"/>
  <c r="Z34" i="4"/>
  <c r="V34" i="4"/>
  <c r="AE34" i="4" s="1"/>
  <c r="BB33" i="4"/>
  <c r="BA33" i="4"/>
  <c r="AZ33" i="4"/>
  <c r="AY33" i="4"/>
  <c r="AW33" i="4"/>
  <c r="AV33" i="4"/>
  <c r="AU33" i="4"/>
  <c r="AR33" i="4"/>
  <c r="AM33" i="4"/>
  <c r="AL33" i="4"/>
  <c r="AK33" i="4"/>
  <c r="AJ33" i="4"/>
  <c r="AI33" i="4"/>
  <c r="AC33" i="4"/>
  <c r="Z33" i="4"/>
  <c r="V33" i="4"/>
  <c r="AE33" i="4" s="1"/>
  <c r="BB32" i="4"/>
  <c r="BA32" i="4"/>
  <c r="AZ32" i="4"/>
  <c r="AY32" i="4"/>
  <c r="AW32" i="4"/>
  <c r="AV32" i="4"/>
  <c r="AU32" i="4"/>
  <c r="AR32" i="4"/>
  <c r="AL32" i="4"/>
  <c r="AK32" i="4"/>
  <c r="AJ32" i="4"/>
  <c r="AI32" i="4"/>
  <c r="AC32" i="4"/>
  <c r="V32" i="4"/>
  <c r="AE32" i="4" s="1"/>
  <c r="BB31" i="4"/>
  <c r="BA31" i="4"/>
  <c r="AZ31" i="4"/>
  <c r="AY31" i="4"/>
  <c r="AX31" i="4"/>
  <c r="AW31" i="4"/>
  <c r="AV31" i="4"/>
  <c r="AU31" i="4"/>
  <c r="AR31" i="4"/>
  <c r="AO31" i="4"/>
  <c r="AL31" i="4"/>
  <c r="AK31" i="4"/>
  <c r="AJ31" i="4"/>
  <c r="AI31" i="4"/>
  <c r="AC31" i="4"/>
  <c r="AB31" i="4"/>
  <c r="V31" i="4"/>
  <c r="BB30" i="4"/>
  <c r="BA30" i="4"/>
  <c r="AZ30" i="4"/>
  <c r="AY30" i="4"/>
  <c r="AX30" i="4"/>
  <c r="AW30" i="4"/>
  <c r="AV30" i="4"/>
  <c r="AU30" i="4"/>
  <c r="AT30" i="4"/>
  <c r="AR30" i="4"/>
  <c r="AL30" i="4"/>
  <c r="AK30" i="4"/>
  <c r="AJ30" i="4"/>
  <c r="AI30" i="4"/>
  <c r="AC30" i="4"/>
  <c r="AB30" i="4"/>
  <c r="V30" i="4"/>
  <c r="AE30" i="4" s="1"/>
  <c r="BB29" i="4"/>
  <c r="BA29" i="4"/>
  <c r="AZ29" i="4"/>
  <c r="AY29" i="4"/>
  <c r="AX29" i="4"/>
  <c r="AW29" i="4"/>
  <c r="AV29" i="4"/>
  <c r="AU29" i="4"/>
  <c r="AT29" i="4"/>
  <c r="AR29" i="4"/>
  <c r="AM29" i="4"/>
  <c r="AL29" i="4"/>
  <c r="AK29" i="4"/>
  <c r="AJ29" i="4"/>
  <c r="AI29" i="4"/>
  <c r="AC29" i="4"/>
  <c r="AB29" i="4"/>
  <c r="V29" i="4"/>
  <c r="AE29" i="4" s="1"/>
  <c r="M29" i="4"/>
  <c r="U29" i="4" s="1"/>
  <c r="BB28" i="4"/>
  <c r="BA28" i="4"/>
  <c r="AZ28" i="4"/>
  <c r="AY28" i="4"/>
  <c r="AX28" i="4"/>
  <c r="AW28" i="4"/>
  <c r="AV28" i="4"/>
  <c r="AU28" i="4"/>
  <c r="AR28" i="4"/>
  <c r="AO28" i="4"/>
  <c r="AL28" i="4"/>
  <c r="AK28" i="4"/>
  <c r="AI28" i="4"/>
  <c r="AC28" i="4"/>
  <c r="AB28" i="4"/>
  <c r="AA28" i="4"/>
  <c r="V28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O27" i="4"/>
  <c r="AM27" i="4"/>
  <c r="AL27" i="4"/>
  <c r="AK27" i="4"/>
  <c r="AJ27" i="4"/>
  <c r="AI27" i="4"/>
  <c r="AC27" i="4"/>
  <c r="AB27" i="4"/>
  <c r="AA27" i="4"/>
  <c r="Y27" i="4"/>
  <c r="X27" i="4"/>
  <c r="W27" i="4"/>
  <c r="V27" i="4"/>
  <c r="BB26" i="4"/>
  <c r="BA26" i="4"/>
  <c r="AZ26" i="4"/>
  <c r="AY26" i="4"/>
  <c r="AX26" i="4"/>
  <c r="AW26" i="4"/>
  <c r="AV26" i="4"/>
  <c r="AR26" i="4"/>
  <c r="AM26" i="4"/>
  <c r="AL26" i="4"/>
  <c r="AK26" i="4"/>
  <c r="AJ26" i="4"/>
  <c r="AI26" i="4"/>
  <c r="AC26" i="4"/>
  <c r="AB26" i="4"/>
  <c r="AA26" i="4"/>
  <c r="V26" i="4"/>
  <c r="AE26" i="4" s="1"/>
  <c r="BB25" i="4"/>
  <c r="BA25" i="4"/>
  <c r="AZ25" i="4"/>
  <c r="AY25" i="4"/>
  <c r="AX25" i="4"/>
  <c r="AW25" i="4"/>
  <c r="AV25" i="4"/>
  <c r="AU25" i="4"/>
  <c r="AR25" i="4"/>
  <c r="AM25" i="4"/>
  <c r="AL25" i="4"/>
  <c r="AK25" i="4"/>
  <c r="AJ25" i="4"/>
  <c r="AI25" i="4"/>
  <c r="AC25" i="4"/>
  <c r="V25" i="4"/>
  <c r="BB24" i="4"/>
  <c r="BA24" i="4"/>
  <c r="AZ24" i="4"/>
  <c r="AY24" i="4"/>
  <c r="AX24" i="4"/>
  <c r="AV24" i="4"/>
  <c r="AR24" i="4"/>
  <c r="AM24" i="4"/>
  <c r="AL24" i="4"/>
  <c r="AK24" i="4"/>
  <c r="AI24" i="4"/>
  <c r="AC24" i="4"/>
  <c r="V24" i="4"/>
  <c r="AH214" i="4"/>
  <c r="AE214" i="4"/>
  <c r="U214" i="4"/>
  <c r="T214" i="4"/>
  <c r="AH213" i="4"/>
  <c r="AE213" i="4"/>
  <c r="U213" i="4"/>
  <c r="T213" i="4"/>
  <c r="AH212" i="4"/>
  <c r="AE212" i="4"/>
  <c r="U212" i="4"/>
  <c r="T212" i="4"/>
  <c r="AH211" i="4"/>
  <c r="AE211" i="4"/>
  <c r="U211" i="4"/>
  <c r="T211" i="4"/>
  <c r="AH210" i="4"/>
  <c r="AE210" i="4"/>
  <c r="U210" i="4"/>
  <c r="T210" i="4"/>
  <c r="AH209" i="4"/>
  <c r="U209" i="4"/>
  <c r="T209" i="4"/>
  <c r="AH208" i="4"/>
  <c r="U208" i="4"/>
  <c r="T208" i="4"/>
  <c r="AH207" i="4"/>
  <c r="U207" i="4"/>
  <c r="T207" i="4"/>
  <c r="AH206" i="4"/>
  <c r="U206" i="4"/>
  <c r="T206" i="4"/>
  <c r="AH205" i="4"/>
  <c r="U205" i="4"/>
  <c r="T205" i="4"/>
  <c r="AH204" i="4"/>
  <c r="U204" i="4"/>
  <c r="T204" i="4"/>
  <c r="AH203" i="4"/>
  <c r="AE203" i="4"/>
  <c r="U203" i="4"/>
  <c r="T203" i="4"/>
  <c r="AH202" i="4"/>
  <c r="U202" i="4"/>
  <c r="T202" i="4"/>
  <c r="AH201" i="4"/>
  <c r="AH200" i="4"/>
  <c r="AE200" i="4"/>
  <c r="U200" i="4"/>
  <c r="T200" i="4"/>
  <c r="AH199" i="4"/>
  <c r="AE199" i="4"/>
  <c r="U199" i="4"/>
  <c r="T199" i="4"/>
  <c r="AH198" i="4"/>
  <c r="AE198" i="4"/>
  <c r="U198" i="4"/>
  <c r="T198" i="4"/>
  <c r="AH197" i="4"/>
  <c r="AE197" i="4"/>
  <c r="U197" i="4"/>
  <c r="T197" i="4"/>
  <c r="AH196" i="4"/>
  <c r="AE196" i="4"/>
  <c r="U196" i="4"/>
  <c r="T196" i="4"/>
  <c r="AH195" i="4"/>
  <c r="AE195" i="4"/>
  <c r="U195" i="4"/>
  <c r="T195" i="4"/>
  <c r="AH194" i="4"/>
  <c r="AE194" i="4"/>
  <c r="U194" i="4"/>
  <c r="T194" i="4"/>
  <c r="AH193" i="4"/>
  <c r="AE193" i="4"/>
  <c r="U193" i="4"/>
  <c r="T193" i="4"/>
  <c r="AH192" i="4"/>
  <c r="U192" i="4"/>
  <c r="T192" i="4"/>
  <c r="AH191" i="4"/>
  <c r="AE191" i="4"/>
  <c r="U191" i="4"/>
  <c r="T191" i="4"/>
  <c r="AH190" i="4"/>
  <c r="U190" i="4"/>
  <c r="T190" i="4"/>
  <c r="AR189" i="4"/>
  <c r="AQ189" i="4"/>
  <c r="AO189" i="4"/>
  <c r="AN189" i="4"/>
  <c r="AH189" i="4"/>
  <c r="AR188" i="4"/>
  <c r="AQ188" i="4"/>
  <c r="AO188" i="4"/>
  <c r="AN188" i="4"/>
  <c r="AH188" i="4"/>
  <c r="AR187" i="4"/>
  <c r="AQ187" i="4"/>
  <c r="AO187" i="4"/>
  <c r="AN187" i="4"/>
  <c r="AM187" i="4"/>
  <c r="AH187" i="4"/>
  <c r="AE187" i="4"/>
  <c r="U187" i="4"/>
  <c r="T187" i="4"/>
  <c r="AR186" i="4"/>
  <c r="AQ186" i="4"/>
  <c r="AO186" i="4"/>
  <c r="AN186" i="4"/>
  <c r="AH186" i="4"/>
  <c r="AR185" i="4"/>
  <c r="AQ185" i="4"/>
  <c r="AO185" i="4"/>
  <c r="AN185" i="4"/>
  <c r="AH185" i="4"/>
  <c r="T185" i="4"/>
  <c r="AQ184" i="4"/>
  <c r="AN184" i="4"/>
  <c r="AH184" i="4"/>
  <c r="AR183" i="4"/>
  <c r="AQ183" i="4"/>
  <c r="AO183" i="4"/>
  <c r="AN183" i="4"/>
  <c r="AH183" i="4"/>
  <c r="AH182" i="4"/>
  <c r="AK181" i="4"/>
  <c r="AI181" i="4"/>
  <c r="AH181" i="4"/>
  <c r="AK180" i="4"/>
  <c r="AH180" i="4"/>
  <c r="AK179" i="4"/>
  <c r="AH179" i="4"/>
  <c r="AO178" i="4"/>
  <c r="AN178" i="4"/>
  <c r="AM178" i="4"/>
  <c r="AK178" i="4"/>
  <c r="AJ178" i="4"/>
  <c r="AI178" i="4"/>
  <c r="AH178" i="4"/>
  <c r="AO177" i="4"/>
  <c r="AN177" i="4"/>
  <c r="AM177" i="4"/>
  <c r="AK177" i="4"/>
  <c r="AJ177" i="4"/>
  <c r="AI177" i="4"/>
  <c r="AH177" i="4"/>
  <c r="AE177" i="4"/>
  <c r="AO176" i="4"/>
  <c r="AN176" i="4"/>
  <c r="AM176" i="4"/>
  <c r="AK176" i="4"/>
  <c r="AI176" i="4"/>
  <c r="AH176" i="4"/>
  <c r="AO175" i="4"/>
  <c r="AN175" i="4"/>
  <c r="AM175" i="4"/>
  <c r="AK175" i="4"/>
  <c r="AI175" i="4"/>
  <c r="AH175" i="4"/>
  <c r="T174" i="4"/>
  <c r="T171" i="4"/>
  <c r="AE170" i="4"/>
  <c r="T170" i="4"/>
  <c r="T169" i="4"/>
  <c r="T168" i="4"/>
  <c r="T166" i="4"/>
  <c r="T165" i="4"/>
  <c r="U163" i="4"/>
  <c r="AE162" i="4"/>
  <c r="U162" i="4"/>
  <c r="AE161" i="4"/>
  <c r="U161" i="4"/>
  <c r="U160" i="4"/>
  <c r="AE159" i="4"/>
  <c r="U159" i="4"/>
  <c r="AG158" i="4"/>
  <c r="U158" i="4"/>
  <c r="U155" i="4"/>
  <c r="U154" i="4"/>
  <c r="U153" i="4"/>
  <c r="U152" i="4"/>
  <c r="U151" i="4"/>
  <c r="AE150" i="4"/>
  <c r="AG149" i="4"/>
  <c r="U149" i="4"/>
  <c r="U148" i="4"/>
  <c r="AG147" i="4"/>
  <c r="U147" i="4"/>
  <c r="U146" i="4"/>
  <c r="U145" i="4"/>
  <c r="AE144" i="4"/>
  <c r="U144" i="4"/>
  <c r="U143" i="4"/>
  <c r="U142" i="4"/>
  <c r="AE141" i="4"/>
  <c r="U141" i="4"/>
  <c r="U140" i="4"/>
  <c r="AE139" i="4"/>
  <c r="U139" i="4"/>
  <c r="U138" i="4"/>
  <c r="AE137" i="4"/>
  <c r="AG136" i="4"/>
  <c r="AE136" i="4"/>
  <c r="AG135" i="4"/>
  <c r="U135" i="4"/>
  <c r="U134" i="4"/>
  <c r="AG133" i="4"/>
  <c r="U133" i="4"/>
  <c r="AG132" i="4"/>
  <c r="U132" i="4"/>
  <c r="AG131" i="4"/>
  <c r="U131" i="4"/>
  <c r="AG130" i="4"/>
  <c r="U130" i="4"/>
  <c r="AG129" i="4"/>
  <c r="AE129" i="4"/>
  <c r="U129" i="4"/>
  <c r="AG128" i="4"/>
  <c r="U128" i="4"/>
  <c r="AG127" i="4"/>
  <c r="AG126" i="4"/>
  <c r="U126" i="4"/>
  <c r="AG125" i="4"/>
  <c r="U125" i="4"/>
  <c r="AG124" i="4"/>
  <c r="U124" i="4"/>
  <c r="U122" i="4"/>
  <c r="AE121" i="4"/>
  <c r="AG118" i="4"/>
  <c r="U118" i="4"/>
  <c r="U116" i="4"/>
  <c r="U115" i="4"/>
  <c r="U114" i="4"/>
  <c r="AG113" i="4"/>
  <c r="U113" i="4"/>
  <c r="U112" i="4"/>
  <c r="AG111" i="4"/>
  <c r="U111" i="4"/>
  <c r="U110" i="4"/>
  <c r="U109" i="4"/>
  <c r="AG108" i="4"/>
  <c r="U108" i="4"/>
  <c r="AE107" i="4"/>
  <c r="U107" i="4"/>
  <c r="U106" i="4"/>
  <c r="U105" i="4"/>
  <c r="U104" i="4"/>
  <c r="AG102" i="4"/>
  <c r="U102" i="4"/>
  <c r="U101" i="4"/>
  <c r="U100" i="4"/>
  <c r="AG97" i="4"/>
  <c r="AE97" i="4"/>
  <c r="U97" i="4"/>
  <c r="AG96" i="4"/>
  <c r="AE96" i="4"/>
  <c r="U96" i="4"/>
  <c r="AG95" i="4"/>
  <c r="AE95" i="4"/>
  <c r="U95" i="4"/>
  <c r="AG93" i="4"/>
  <c r="U93" i="4"/>
  <c r="AG92" i="4"/>
  <c r="AE92" i="4"/>
  <c r="U92" i="4"/>
  <c r="AG91" i="4"/>
  <c r="AE91" i="4"/>
  <c r="U91" i="4"/>
  <c r="AG90" i="4"/>
  <c r="AE90" i="4"/>
  <c r="U90" i="4"/>
  <c r="AG89" i="4"/>
  <c r="AE89" i="4"/>
  <c r="U89" i="4"/>
  <c r="AE88" i="4"/>
  <c r="U88" i="4"/>
  <c r="AG87" i="4"/>
  <c r="AE87" i="4"/>
  <c r="U87" i="4"/>
  <c r="AG86" i="4"/>
  <c r="AE86" i="4"/>
  <c r="U86" i="4"/>
  <c r="AG85" i="4"/>
  <c r="AE85" i="4"/>
  <c r="U85" i="4"/>
  <c r="AG84" i="4"/>
  <c r="AE84" i="4"/>
  <c r="U84" i="4"/>
  <c r="AG83" i="4"/>
  <c r="U83" i="4"/>
  <c r="U82" i="4"/>
  <c r="T82" i="4"/>
  <c r="AG81" i="4"/>
  <c r="AE81" i="4"/>
  <c r="AG80" i="4"/>
  <c r="U80" i="4"/>
  <c r="T80" i="4"/>
  <c r="AG79" i="4"/>
  <c r="U79" i="4"/>
  <c r="T79" i="4"/>
  <c r="AE78" i="4"/>
  <c r="U78" i="4"/>
  <c r="T78" i="4"/>
  <c r="AG77" i="4"/>
  <c r="U77" i="4"/>
  <c r="T77" i="4"/>
  <c r="AG76" i="4"/>
  <c r="U76" i="4"/>
  <c r="T76" i="4"/>
  <c r="AG75" i="4"/>
  <c r="AG74" i="4"/>
  <c r="AE74" i="4"/>
  <c r="U74" i="4"/>
  <c r="AG73" i="4"/>
  <c r="U73" i="4"/>
  <c r="T73" i="4"/>
  <c r="U72" i="4"/>
  <c r="T72" i="4"/>
  <c r="AG71" i="4"/>
  <c r="AE71" i="4"/>
  <c r="U71" i="4"/>
  <c r="T71" i="4"/>
  <c r="AG70" i="4"/>
  <c r="U70" i="4"/>
  <c r="T70" i="4"/>
  <c r="AG69" i="4"/>
  <c r="U69" i="4"/>
  <c r="T69" i="4"/>
  <c r="AG68" i="4"/>
  <c r="U68" i="4"/>
  <c r="T68" i="4"/>
  <c r="AG67" i="4"/>
  <c r="AE67" i="4"/>
  <c r="U67" i="4"/>
  <c r="T67" i="4"/>
  <c r="AG66" i="4"/>
  <c r="U66" i="4"/>
  <c r="T66" i="4"/>
  <c r="AG65" i="4"/>
  <c r="AE65" i="4"/>
  <c r="U65" i="4"/>
  <c r="T65" i="4"/>
  <c r="AG64" i="4"/>
  <c r="U64" i="4"/>
  <c r="T64" i="4"/>
  <c r="AE63" i="4"/>
  <c r="U63" i="4"/>
  <c r="T63" i="4"/>
  <c r="AG62" i="4"/>
  <c r="U62" i="4"/>
  <c r="T62" i="4"/>
  <c r="AE61" i="4"/>
  <c r="U61" i="4"/>
  <c r="T61" i="4"/>
  <c r="AG60" i="4"/>
  <c r="U60" i="4"/>
  <c r="T60" i="4"/>
  <c r="AE59" i="4"/>
  <c r="U59" i="4"/>
  <c r="T59" i="4"/>
  <c r="AG58" i="4"/>
  <c r="U58" i="4"/>
  <c r="T58" i="4"/>
  <c r="U57" i="4"/>
  <c r="T57" i="4"/>
  <c r="U56" i="4"/>
  <c r="T56" i="4"/>
  <c r="U55" i="4"/>
  <c r="U54" i="4"/>
  <c r="U53" i="4"/>
  <c r="U52" i="4"/>
  <c r="U51" i="4"/>
  <c r="U50" i="4"/>
  <c r="AE49" i="4"/>
  <c r="U49" i="4"/>
  <c r="AE48" i="4"/>
  <c r="U48" i="4"/>
  <c r="U47" i="4"/>
  <c r="U44" i="4"/>
  <c r="U42" i="4"/>
  <c r="U41" i="4"/>
  <c r="U40" i="4"/>
  <c r="U39" i="4"/>
  <c r="U38" i="4"/>
  <c r="U37" i="4"/>
  <c r="U36" i="4"/>
  <c r="AE35" i="4"/>
  <c r="U35" i="4"/>
  <c r="U34" i="4"/>
  <c r="U33" i="4"/>
  <c r="U32" i="4"/>
  <c r="U31" i="4"/>
  <c r="U30" i="4"/>
  <c r="U28" i="4"/>
  <c r="U27" i="4"/>
  <c r="U26" i="4"/>
  <c r="AE25" i="4"/>
  <c r="U25" i="4"/>
  <c r="AE24" i="4"/>
  <c r="AG147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U25" i="2"/>
  <c r="U26" i="2"/>
  <c r="U28" i="2"/>
  <c r="U30" i="2"/>
  <c r="U31" i="2"/>
  <c r="U32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212" i="2"/>
  <c r="T81" i="4" l="1"/>
  <c r="AE27" i="4"/>
  <c r="AE44" i="4"/>
  <c r="AE45" i="4"/>
  <c r="AE62" i="4"/>
  <c r="AE125" i="4"/>
  <c r="AE132" i="4"/>
  <c r="AE140" i="4"/>
  <c r="AE143" i="4"/>
  <c r="AE160" i="4"/>
  <c r="U184" i="4"/>
  <c r="AE185" i="4"/>
  <c r="T188" i="4"/>
  <c r="AD166" i="4"/>
  <c r="AE50" i="4"/>
  <c r="U185" i="4"/>
  <c r="AE94" i="4"/>
  <c r="AE120" i="4"/>
  <c r="AE169" i="4"/>
  <c r="AD170" i="4"/>
  <c r="AE175" i="4"/>
  <c r="AE134" i="4"/>
  <c r="AE109" i="4"/>
  <c r="AE110" i="4"/>
  <c r="AE183" i="4"/>
  <c r="AE173" i="4"/>
  <c r="AD174" i="4"/>
  <c r="AE56" i="4"/>
  <c r="U188" i="4"/>
  <c r="AE157" i="4"/>
  <c r="AD167" i="4"/>
  <c r="AE112" i="4"/>
  <c r="AD165" i="4"/>
  <c r="U201" i="4"/>
  <c r="AE31" i="4"/>
  <c r="AE36" i="4"/>
  <c r="AE38" i="4"/>
  <c r="AE46" i="4"/>
  <c r="AE53" i="4"/>
  <c r="AE105" i="4"/>
  <c r="AE113" i="4"/>
  <c r="AE188" i="4"/>
  <c r="AE190" i="4"/>
  <c r="AE37" i="4"/>
  <c r="AE72" i="4"/>
  <c r="AE131" i="4"/>
  <c r="AE138" i="4"/>
  <c r="AD172" i="4"/>
  <c r="AE28" i="4"/>
  <c r="AE64" i="4"/>
  <c r="AE126" i="4"/>
  <c r="T186" i="4"/>
  <c r="AE104" i="4"/>
  <c r="AE168" i="4"/>
  <c r="AE184" i="4"/>
  <c r="T189" i="4"/>
  <c r="AD173" i="4"/>
  <c r="T75" i="4"/>
  <c r="AE172" i="4"/>
  <c r="AD168" i="4"/>
  <c r="T183" i="4"/>
  <c r="T184" i="4"/>
  <c r="AD169" i="4"/>
  <c r="AE174" i="4"/>
  <c r="AG60" i="2"/>
  <c r="AG62" i="2"/>
  <c r="AG63" i="2"/>
  <c r="AG64" i="2"/>
  <c r="AG65" i="2"/>
  <c r="AG66" i="2"/>
  <c r="AG68" i="2"/>
  <c r="AG69" i="2"/>
  <c r="AG70" i="2"/>
  <c r="AG71" i="2"/>
  <c r="AG73" i="2"/>
  <c r="AG74" i="2"/>
  <c r="AG75" i="2"/>
  <c r="AG76" i="2"/>
  <c r="AG77" i="2"/>
  <c r="AG79" i="2"/>
  <c r="AG80" i="2"/>
  <c r="AG81" i="2"/>
  <c r="AG83" i="2"/>
  <c r="AG84" i="2"/>
  <c r="AG85" i="2"/>
  <c r="AG86" i="2"/>
  <c r="AG87" i="2"/>
  <c r="AG89" i="2"/>
  <c r="AG90" i="2"/>
  <c r="AG91" i="2"/>
  <c r="AG92" i="2"/>
  <c r="AG93" i="2"/>
  <c r="AG95" i="2"/>
  <c r="AG96" i="2"/>
  <c r="AG97" i="2"/>
  <c r="AG102" i="2"/>
  <c r="AG108" i="2"/>
  <c r="AG111" i="2"/>
  <c r="AG113" i="2"/>
  <c r="AG118" i="2"/>
  <c r="AG124" i="2"/>
  <c r="AG125" i="2"/>
  <c r="AG126" i="2"/>
  <c r="AG127" i="2"/>
  <c r="AG128" i="2"/>
  <c r="AG129" i="2"/>
  <c r="AG130" i="2"/>
  <c r="AG131" i="2"/>
  <c r="AG132" i="2"/>
  <c r="AG133" i="2"/>
  <c r="AG135" i="2"/>
  <c r="AG136" i="2"/>
  <c r="AG149" i="2"/>
  <c r="AG158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U50" i="2"/>
  <c r="U66" i="2"/>
  <c r="U49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T66" i="2" l="1"/>
  <c r="T65" i="2"/>
  <c r="T64" i="2"/>
  <c r="T63" i="2"/>
  <c r="T62" i="2"/>
  <c r="T61" i="2"/>
  <c r="T60" i="2"/>
  <c r="T59" i="2"/>
  <c r="T58" i="2"/>
  <c r="T57" i="2"/>
  <c r="T56" i="2"/>
  <c r="T67" i="2"/>
  <c r="U67" i="2"/>
  <c r="AG67" i="2"/>
  <c r="T68" i="2"/>
  <c r="U68" i="2"/>
  <c r="AE68" i="2"/>
  <c r="T69" i="2"/>
  <c r="U69" i="2"/>
  <c r="AE69" i="2"/>
  <c r="AH190" i="2" l="1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3" i="2"/>
  <c r="U214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70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AE84" i="2" l="1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83" i="2"/>
  <c r="AR189" i="2" l="1"/>
  <c r="AQ189" i="2"/>
  <c r="AO189" i="2"/>
  <c r="AN189" i="2"/>
  <c r="AR188" i="2"/>
  <c r="AQ188" i="2"/>
  <c r="AO188" i="2"/>
  <c r="AN188" i="2"/>
  <c r="AR187" i="2"/>
  <c r="AQ187" i="2"/>
  <c r="AO187" i="2"/>
  <c r="AN187" i="2"/>
  <c r="AM187" i="2"/>
  <c r="AR186" i="2"/>
  <c r="AQ186" i="2"/>
  <c r="AO186" i="2"/>
  <c r="AN186" i="2"/>
  <c r="AR185" i="2"/>
  <c r="AQ185" i="2"/>
  <c r="AO185" i="2"/>
  <c r="AN185" i="2"/>
  <c r="AQ184" i="2"/>
  <c r="AN184" i="2"/>
  <c r="AR183" i="2"/>
  <c r="AQ183" i="2"/>
  <c r="AO183" i="2"/>
  <c r="AN183" i="2"/>
  <c r="AO178" i="2"/>
  <c r="AN178" i="2"/>
  <c r="AM178" i="2"/>
  <c r="AJ178" i="2"/>
  <c r="AO177" i="2"/>
  <c r="AN177" i="2"/>
  <c r="AM177" i="2"/>
  <c r="AJ177" i="2"/>
  <c r="AO176" i="2"/>
  <c r="AN176" i="2"/>
  <c r="AM176" i="2"/>
  <c r="AO175" i="2"/>
  <c r="AN175" i="2"/>
  <c r="AM175" i="2"/>
  <c r="AK181" i="2"/>
  <c r="AK180" i="2"/>
  <c r="AK179" i="2"/>
  <c r="AK178" i="2"/>
  <c r="AK177" i="2"/>
  <c r="AK176" i="2"/>
  <c r="AK175" i="2"/>
  <c r="AI181" i="2"/>
  <c r="AI178" i="2"/>
  <c r="AI177" i="2"/>
  <c r="AI176" i="2"/>
  <c r="AI175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176" i="2"/>
  <c r="AH175" i="2"/>
  <c r="AE196" i="2" l="1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191" i="2"/>
  <c r="AE192" i="2"/>
  <c r="AE193" i="2"/>
  <c r="AE194" i="2"/>
  <c r="AE195" i="2"/>
  <c r="AE184" i="2"/>
  <c r="AE185" i="2"/>
  <c r="AE186" i="2"/>
  <c r="AE187" i="2"/>
  <c r="AE188" i="2"/>
  <c r="AE189" i="2"/>
  <c r="AE190" i="2"/>
  <c r="AE183" i="2"/>
  <c r="AE178" i="2"/>
  <c r="AE176" i="2"/>
  <c r="AE175" i="2"/>
  <c r="AE177" i="2"/>
  <c r="AE173" i="2"/>
  <c r="AE140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183" i="2"/>
  <c r="AE138" i="2"/>
  <c r="AE139" i="2"/>
  <c r="AE141" i="2"/>
  <c r="AE142" i="2"/>
  <c r="AE143" i="2"/>
  <c r="AE144" i="2"/>
  <c r="AE145" i="2"/>
  <c r="AE146" i="2"/>
  <c r="AE147" i="2"/>
  <c r="AE148" i="2"/>
  <c r="AE149" i="2"/>
  <c r="AE150" i="2"/>
  <c r="AE137" i="2"/>
  <c r="AE100" i="2" l="1"/>
  <c r="AD166" i="2" l="1"/>
  <c r="AD167" i="2"/>
  <c r="AD168" i="2"/>
  <c r="AD169" i="2"/>
  <c r="AD170" i="2"/>
  <c r="AD171" i="2"/>
  <c r="AD172" i="2"/>
  <c r="AD173" i="2"/>
  <c r="AD174" i="2"/>
  <c r="AD165" i="2"/>
  <c r="AE165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6" i="2"/>
  <c r="AE167" i="2"/>
  <c r="AE168" i="2"/>
  <c r="AE169" i="2"/>
  <c r="AE170" i="2"/>
  <c r="AE171" i="2"/>
  <c r="AE172" i="2"/>
  <c r="AE174" i="2"/>
  <c r="AE151" i="2"/>
  <c r="T166" i="2"/>
  <c r="T167" i="2"/>
  <c r="T168" i="2"/>
  <c r="T169" i="2"/>
  <c r="T170" i="2"/>
  <c r="T171" i="2"/>
  <c r="T172" i="2"/>
  <c r="T173" i="2"/>
  <c r="T174" i="2"/>
  <c r="T165" i="2"/>
  <c r="AE129" i="2" l="1"/>
  <c r="AE130" i="2"/>
  <c r="AE131" i="2"/>
  <c r="AE132" i="2"/>
  <c r="AE133" i="2"/>
  <c r="AE134" i="2"/>
  <c r="AE135" i="2"/>
  <c r="AE136" i="2"/>
  <c r="AE128" i="2"/>
  <c r="AE127" i="2"/>
  <c r="AE126" i="2"/>
  <c r="AE125" i="2"/>
  <c r="AE124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Öborn</author>
  </authors>
  <commentList>
    <comment ref="M2" authorId="0" shapeId="0" xr:uid="{BB9945F4-E3A9-47EF-8273-26B724E92171}">
      <text>
        <r>
          <rPr>
            <b/>
            <sz val="9"/>
            <color indexed="81"/>
            <rFont val="Tahoma"/>
            <charset val="1"/>
          </rPr>
          <t>Lisa Öborn:</t>
        </r>
        <r>
          <rPr>
            <sz val="9"/>
            <color indexed="81"/>
            <rFont val="Tahoma"/>
            <charset val="1"/>
          </rPr>
          <t xml:space="preserve">
Spårhalt; ämnet har detekterats mellan detektionsgräns och kvantifieringsgräns, halten är osäker.  (markerade med blåfärg och kursiv)</t>
        </r>
      </text>
    </comment>
    <comment ref="AI7" authorId="0" shapeId="0" xr:uid="{CA09EE76-64AA-413E-99BA-13923DE93378}">
      <text>
        <r>
          <rPr>
            <b/>
            <sz val="9"/>
            <color indexed="81"/>
            <rFont val="Tahoma"/>
            <family val="2"/>
          </rPr>
          <t>Lisa Öborn:</t>
        </r>
        <r>
          <rPr>
            <sz val="9"/>
            <color indexed="81"/>
            <rFont val="Tahoma"/>
            <family val="2"/>
          </rPr>
          <t xml:space="preserve">
Får inte bort röd text</t>
        </r>
      </text>
    </comment>
  </commentList>
</comments>
</file>

<file path=xl/sharedStrings.xml><?xml version="1.0" encoding="utf-8"?>
<sst xmlns="http://schemas.openxmlformats.org/spreadsheetml/2006/main" count="27598" uniqueCount="400">
  <si>
    <t>Lokal</t>
  </si>
  <si>
    <t>Fångstdatum</t>
  </si>
  <si>
    <t>SWEREF 99 18 00</t>
  </si>
  <si>
    <t>Nej</t>
  </si>
  <si>
    <t>Riddarfjärden</t>
  </si>
  <si>
    <t>Ulvsundasjön</t>
  </si>
  <si>
    <t>Långsjön</t>
  </si>
  <si>
    <t>Trekanten</t>
  </si>
  <si>
    <t>Flaten</t>
  </si>
  <si>
    <t>Ältasjön</t>
  </si>
  <si>
    <t>Orlången</t>
  </si>
  <si>
    <t>Tyresö-Flaten</t>
  </si>
  <si>
    <t>Trehörningen-Sjödalen</t>
  </si>
  <si>
    <t>ej inkommit</t>
  </si>
  <si>
    <t>Kvarnsjön-Gladö</t>
  </si>
  <si>
    <t>Lycksjön</t>
  </si>
  <si>
    <t>Bylsjön</t>
  </si>
  <si>
    <t>Art</t>
  </si>
  <si>
    <t>År</t>
  </si>
  <si>
    <t>Aborre</t>
  </si>
  <si>
    <t>Abborre</t>
  </si>
  <si>
    <t>Drevviken</t>
  </si>
  <si>
    <t>Årstaviken</t>
  </si>
  <si>
    <t>Brunnsviken</t>
  </si>
  <si>
    <t>Djurgårdsbrunnsviken</t>
  </si>
  <si>
    <t>Magelungen</t>
  </si>
  <si>
    <t>Judarn</t>
  </si>
  <si>
    <t>Görväln</t>
  </si>
  <si>
    <t>Fiskarfjärden</t>
  </si>
  <si>
    <t>Råstasjön</t>
  </si>
  <si>
    <t>Sicklasjön</t>
  </si>
  <si>
    <t>-</t>
  </si>
  <si>
    <t>Detektionsgräns</t>
  </si>
  <si>
    <t>Ja</t>
  </si>
  <si>
    <t>&lt;0,027</t>
  </si>
  <si>
    <t>&lt;0,074</t>
  </si>
  <si>
    <t>&lt;0,21</t>
  </si>
  <si>
    <t>&lt;0,075</t>
  </si>
  <si>
    <t>&lt;0,22</t>
  </si>
  <si>
    <t>&lt;0,04</t>
  </si>
  <si>
    <t>&lt;0,026</t>
  </si>
  <si>
    <t>&lt;0,11</t>
  </si>
  <si>
    <t>&lt;0,31</t>
  </si>
  <si>
    <t>&lt;35</t>
  </si>
  <si>
    <t>&lt;10</t>
  </si>
  <si>
    <t>&lt;1,0</t>
  </si>
  <si>
    <t>&lt;0,5</t>
  </si>
  <si>
    <t>&lt;0,029</t>
  </si>
  <si>
    <t>&lt;0,035</t>
  </si>
  <si>
    <t>&lt;0,032</t>
  </si>
  <si>
    <t>&lt;0,056</t>
  </si>
  <si>
    <t>&lt;0,059</t>
  </si>
  <si>
    <t>&lt;0,055</t>
  </si>
  <si>
    <t>&lt;0,079</t>
  </si>
  <si>
    <t>&lt;1</t>
  </si>
  <si>
    <t>&lt;0,12</t>
  </si>
  <si>
    <t>&lt;0,02</t>
  </si>
  <si>
    <t>&lt;0,017</t>
  </si>
  <si>
    <t>&lt;0,0079</t>
  </si>
  <si>
    <t>&lt;0,012</t>
  </si>
  <si>
    <t>&lt;0,013</t>
  </si>
  <si>
    <t>&lt;0,008</t>
  </si>
  <si>
    <t>&lt;0,015</t>
  </si>
  <si>
    <t>&lt;0,004</t>
  </si>
  <si>
    <t>&lt;0,009</t>
  </si>
  <si>
    <t>&lt;0,1</t>
  </si>
  <si>
    <t>&lt;0,019</t>
  </si>
  <si>
    <t>&lt;0,014</t>
  </si>
  <si>
    <t>&lt;0,022</t>
  </si>
  <si>
    <t>&lt;0,2</t>
  </si>
  <si>
    <t>&lt;0,03</t>
  </si>
  <si>
    <t>&lt;0,05</t>
  </si>
  <si>
    <t>&lt;0,01</t>
  </si>
  <si>
    <t>&lt;0,011</t>
  </si>
  <si>
    <t>&lt;0,018</t>
  </si>
  <si>
    <t>&lt;0,028</t>
  </si>
  <si>
    <t>&lt;0,024</t>
  </si>
  <si>
    <t>&lt;0,023</t>
  </si>
  <si>
    <t>&lt;0,025</t>
  </si>
  <si>
    <t>Lilla Värtan</t>
  </si>
  <si>
    <t>Nedre Rudasjön</t>
  </si>
  <si>
    <t>Råcksta träsk</t>
  </si>
  <si>
    <t>Lilla värtan</t>
  </si>
  <si>
    <t>&lt;0,0014</t>
  </si>
  <si>
    <t>&lt;0,0003</t>
  </si>
  <si>
    <t>&lt;0,00043</t>
  </si>
  <si>
    <t>&lt;0,00073</t>
  </si>
  <si>
    <t>&lt;0,00092</t>
  </si>
  <si>
    <t>&lt;0,0026</t>
  </si>
  <si>
    <t>&lt;0,0046</t>
  </si>
  <si>
    <t>&lt;0,0086</t>
  </si>
  <si>
    <t>&lt;0,0021</t>
  </si>
  <si>
    <t>&lt;0,0023</t>
  </si>
  <si>
    <t>&lt;0,00069</t>
  </si>
  <si>
    <t>&lt;0,0034</t>
  </si>
  <si>
    <t>&lt;0,0044</t>
  </si>
  <si>
    <t>&lt;0,0024</t>
  </si>
  <si>
    <t>&lt;0,0029</t>
  </si>
  <si>
    <t>&lt;0,0027</t>
  </si>
  <si>
    <t>&lt;0,0016</t>
  </si>
  <si>
    <t>&lt;0,0006</t>
  </si>
  <si>
    <t>&lt;0,0015</t>
  </si>
  <si>
    <t>&lt;0,0013</t>
  </si>
  <si>
    <t>&lt;0,0054</t>
  </si>
  <si>
    <t>&lt;0,0037</t>
  </si>
  <si>
    <t>&lt;0,044</t>
  </si>
  <si>
    <t>&lt;0,033</t>
  </si>
  <si>
    <t>&lt;0,042</t>
  </si>
  <si>
    <t>&lt;0,037</t>
  </si>
  <si>
    <t>&lt;0,036</t>
  </si>
  <si>
    <t>Notering</t>
  </si>
  <si>
    <t>Vattenförekomst</t>
  </si>
  <si>
    <t>Strömmen</t>
  </si>
  <si>
    <t>Antal fiskar i poolat prov</t>
  </si>
  <si>
    <t>1</t>
  </si>
  <si>
    <t>Brunnsviken N</t>
  </si>
  <si>
    <t>Brunnsviken S</t>
  </si>
  <si>
    <t>&lt;72</t>
  </si>
  <si>
    <t>&lt;43</t>
  </si>
  <si>
    <t>&lt;86</t>
  </si>
  <si>
    <t>&lt;52</t>
  </si>
  <si>
    <t>&lt;87</t>
  </si>
  <si>
    <t>&lt;64</t>
  </si>
  <si>
    <t>&lt;38</t>
  </si>
  <si>
    <t>Insamling av fisk i norra delen av Brunnsviken gjordes som en screening bara detta år. Undersökning på initiativ av Solna stad.</t>
  </si>
  <si>
    <t>Halter av PFAS i muskel är beräknade baserat på uppmätta halter i lever (dividerat med 18,8) (Faxneld S., et al 2014, Report 9:2014. Swedish Museum of Natural History.)</t>
  </si>
  <si>
    <t>&lt;0,3</t>
  </si>
  <si>
    <t xml:space="preserve"> -</t>
  </si>
  <si>
    <t>&lt;0,19</t>
  </si>
  <si>
    <t>&lt;0,18</t>
  </si>
  <si>
    <t>&lt;0,005</t>
  </si>
  <si>
    <t>&lt;0,51</t>
  </si>
  <si>
    <t>Älvsjö-Långsjön</t>
  </si>
  <si>
    <t>&lt;0,15</t>
  </si>
  <si>
    <t>&lt;0,092</t>
  </si>
  <si>
    <t>&lt;0,095</t>
  </si>
  <si>
    <t>&lt;0,096</t>
  </si>
  <si>
    <t>&lt;0,097</t>
  </si>
  <si>
    <t>&lt;0,039</t>
  </si>
  <si>
    <t>&lt;0,089</t>
  </si>
  <si>
    <t>&lt;0,038</t>
  </si>
  <si>
    <t>&lt;0,087</t>
  </si>
  <si>
    <t>&lt;0,094</t>
  </si>
  <si>
    <t>&lt;2</t>
  </si>
  <si>
    <t>&lt;0,06</t>
  </si>
  <si>
    <t>&lt;0,16</t>
  </si>
  <si>
    <t>&lt;5</t>
  </si>
  <si>
    <t>&lt;0,29</t>
  </si>
  <si>
    <t>&lt;0,46</t>
  </si>
  <si>
    <t>&lt;4</t>
  </si>
  <si>
    <t>&lt;0,39</t>
  </si>
  <si>
    <t>&lt;0,17</t>
  </si>
  <si>
    <t>&lt;0,32</t>
  </si>
  <si>
    <t>&lt;0,13</t>
  </si>
  <si>
    <t>&lt;0,112</t>
  </si>
  <si>
    <t>&lt;0,00469</t>
  </si>
  <si>
    <t>&lt;0,004989</t>
  </si>
  <si>
    <t>&lt;0,00492</t>
  </si>
  <si>
    <t>NA</t>
  </si>
  <si>
    <t xml:space="preserve"> NA</t>
  </si>
  <si>
    <t>LOD</t>
  </si>
  <si>
    <t>&lt;0,78</t>
  </si>
  <si>
    <t>&lt;2,9</t>
  </si>
  <si>
    <t>&lt;3,7</t>
  </si>
  <si>
    <t>&lt;2,5</t>
  </si>
  <si>
    <t>Brunnsviken Södra  är den ordinarie provpunkten</t>
  </si>
  <si>
    <t>Järlasjön</t>
  </si>
  <si>
    <t>Lillsjön</t>
  </si>
  <si>
    <t>2022</t>
  </si>
  <si>
    <t>10</t>
  </si>
  <si>
    <t>&lt;0,10275380189067</t>
  </si>
  <si>
    <t>&lt;0,001</t>
  </si>
  <si>
    <t>&lt;0,104942806170637</t>
  </si>
  <si>
    <t>&lt;0,102480016396803</t>
  </si>
  <si>
    <t>&lt;0,0986096045754856</t>
  </si>
  <si>
    <t>&lt;0,100684655658478</t>
  </si>
  <si>
    <t>&lt;0,100361300682457</t>
  </si>
  <si>
    <t>&lt;0,0976467141880676</t>
  </si>
  <si>
    <t>&lt;0,102522042239081</t>
  </si>
  <si>
    <t>&lt;0,0178135179153094</t>
  </si>
  <si>
    <t>&lt;0,101791530944625</t>
  </si>
  <si>
    <t>&lt;0,0179487179487179</t>
  </si>
  <si>
    <t>&lt;0,102564102564103</t>
  </si>
  <si>
    <t>&lt;0,0188070929607738</t>
  </si>
  <si>
    <t>&lt;0,107469102632993</t>
  </si>
  <si>
    <t>&lt;0,0162187210379981</t>
  </si>
  <si>
    <t>&lt;0,0129749768303985</t>
  </si>
  <si>
    <t>&lt;0,092678405931418</t>
  </si>
  <si>
    <t>&lt;0,016562559151997</t>
  </si>
  <si>
    <t>&lt;0,0946431951542684</t>
  </si>
  <si>
    <t>&lt;0,0179193118984231</t>
  </si>
  <si>
    <t>&lt;0,102396067990989</t>
  </si>
  <si>
    <t>&lt;0,018434636047614</t>
  </si>
  <si>
    <t>&lt;0,105340777414937</t>
  </si>
  <si>
    <t>&lt;0,0183997476606035</t>
  </si>
  <si>
    <t>&lt;0,105141415203449</t>
  </si>
  <si>
    <t>&lt;0,016394978452314</t>
  </si>
  <si>
    <t>&lt;0,017770105605199</t>
  </si>
  <si>
    <t>&lt;0,0178973205154428</t>
  </si>
  <si>
    <t>Djurgårdsbrunnsv</t>
  </si>
  <si>
    <t>Magelungen*, fryst 2021 analys 2023</t>
  </si>
  <si>
    <t>Magelungen*, fryst 2020 analys 2023</t>
  </si>
  <si>
    <t>Djurgårdsbrunnsv*, fryst 2020, analys 2023</t>
  </si>
  <si>
    <t>Djurgårdsbrunnsv*, fryst 2022, analys 2023</t>
  </si>
  <si>
    <t>Magelungen*, fryst 2022 analys 2023</t>
  </si>
  <si>
    <t>Djurgårdsbrunnsv*, fryst 2021, analys 2023</t>
  </si>
  <si>
    <t>&lt;0,0253395499695925</t>
  </si>
  <si>
    <t>&lt;0,0506790999391851</t>
  </si>
  <si>
    <t>&lt;0,4</t>
  </si>
  <si>
    <t>&lt;0,23</t>
  </si>
  <si>
    <t>&lt;0,0251382604323781</t>
  </si>
  <si>
    <t>&lt;0,0502765208647562</t>
  </si>
  <si>
    <t>&lt;0,76</t>
  </si>
  <si>
    <t>&lt;0,024492995003429</t>
  </si>
  <si>
    <t>&lt;0,0391887920054864</t>
  </si>
  <si>
    <t>&lt;0,048985990006858</t>
  </si>
  <si>
    <t>&lt;0,0201106083459025</t>
  </si>
  <si>
    <t>&lt;0,0301659125188537</t>
  </si>
  <si>
    <t>&lt;0,0402212166918049</t>
  </si>
  <si>
    <t>&lt;0,37</t>
  </si>
  <si>
    <t>&lt;0,41</t>
  </si>
  <si>
    <t>&lt;0,0243878645985758</t>
  </si>
  <si>
    <t>&lt;0,0390205833577212</t>
  </si>
  <si>
    <t>&lt;0,0507305194805195</t>
  </si>
  <si>
    <t>&lt;0,0246329687653956</t>
  </si>
  <si>
    <t>&lt;0,0492659375307912</t>
  </si>
  <si>
    <t>&lt;0,025166096235152</t>
  </si>
  <si>
    <t>&lt;0,050332192470304</t>
  </si>
  <si>
    <t>&lt;0,0250802568218299</t>
  </si>
  <si>
    <t>&lt;0,0501605136436597</t>
  </si>
  <si>
    <t>&lt;0,0246305418719212</t>
  </si>
  <si>
    <t>&lt;0,0492610837438424</t>
  </si>
  <si>
    <t>&lt;0,0247304382233653</t>
  </si>
  <si>
    <t>&lt;0,0494608764467306</t>
  </si>
  <si>
    <t>&lt;0,0244355390479914</t>
  </si>
  <si>
    <t>&lt;0,0390968624767862</t>
  </si>
  <si>
    <t>&lt;0,0488710780959828</t>
  </si>
  <si>
    <t>&lt;0,0254478827361564</t>
  </si>
  <si>
    <t>&lt;0,0508957654723127</t>
  </si>
  <si>
    <t>&lt;0,0249476100189602</t>
  </si>
  <si>
    <t>&lt;0,0399161760303363</t>
  </si>
  <si>
    <t>&lt;0,0498952200379204</t>
  </si>
  <si>
    <t>&lt;0,0249505461028524</t>
  </si>
  <si>
    <t>&lt;0,0399208737645639</t>
  </si>
  <si>
    <t>&lt;0,0503119339907426</t>
  </si>
  <si>
    <t>&lt;0,0252117789431222</t>
  </si>
  <si>
    <t>&lt;0,0403388463089956</t>
  </si>
  <si>
    <t>&lt;0,0504235578862445</t>
  </si>
  <si>
    <t>&lt;0,33</t>
  </si>
  <si>
    <t>&lt;0,48</t>
  </si>
  <si>
    <t>&lt;0,52</t>
  </si>
  <si>
    <t>&lt;0,0251281535832747</t>
  </si>
  <si>
    <t>&lt;0,0402050457332395</t>
  </si>
  <si>
    <t>&lt;0,0502563071665494</t>
  </si>
  <si>
    <t>&lt;0,024781919111816</t>
  </si>
  <si>
    <t>&lt;0,049563838223632</t>
  </si>
  <si>
    <t>&lt;0,0252576278035967</t>
  </si>
  <si>
    <t>&lt;0,0505152556071934</t>
  </si>
  <si>
    <t>&lt;0,024975024975025</t>
  </si>
  <si>
    <t>&lt;0,03996003996004</t>
  </si>
  <si>
    <t>&lt;0,04995004995005</t>
  </si>
  <si>
    <t>&lt;0,0247573776985542</t>
  </si>
  <si>
    <t>&lt;0,0396118043176867</t>
  </si>
  <si>
    <t>&lt;0,0495147553971083</t>
  </si>
  <si>
    <t>&lt;0,0251635631605435</t>
  </si>
  <si>
    <t>&lt;0,0402617010568697</t>
  </si>
  <si>
    <t>&lt;0,0503271263210871</t>
  </si>
  <si>
    <t>&lt;0,0245990357177999</t>
  </si>
  <si>
    <t>&lt;0,0393584571484798</t>
  </si>
  <si>
    <t>&lt;0,0491980714355997</t>
  </si>
  <si>
    <t>&lt;0,0250978817387812</t>
  </si>
  <si>
    <t>&lt;0,0501957634775625</t>
  </si>
  <si>
    <t>&lt;0,0252397778899546</t>
  </si>
  <si>
    <t>&lt;0,0504795557799091</t>
  </si>
  <si>
    <t>PCB28 µg/kg vv muskel</t>
  </si>
  <si>
    <t>PCB52 µg/kg vv muskel</t>
  </si>
  <si>
    <t>PCB101 µg/kg vv muskel</t>
  </si>
  <si>
    <t>PCB118 µg/kg vv muskel</t>
  </si>
  <si>
    <t>PCB153 µg/kg vv muskel</t>
  </si>
  <si>
    <t>PCB138 µg/kg vv muskel</t>
  </si>
  <si>
    <t>PCB180 µg/kg vv muskel</t>
  </si>
  <si>
    <t>SummaPCB7 µg/kg vv muskel</t>
  </si>
  <si>
    <t>Fetthalt muskel %</t>
  </si>
  <si>
    <t>Fetthalt lever %</t>
  </si>
  <si>
    <t>Poolat prov Ja/Nej</t>
  </si>
  <si>
    <t>SummaPCB6_lipidnorm (MB) muskel</t>
  </si>
  <si>
    <t>PBDE28 µg/kg vv muskel</t>
  </si>
  <si>
    <t>PBDE47 µg/kg vv muskel</t>
  </si>
  <si>
    <t>PBDE100 µg/kg vv muskel</t>
  </si>
  <si>
    <t>PBDE99 µg/kg vv muskel</t>
  </si>
  <si>
    <t>PBDE85 µg/kg vv muskel</t>
  </si>
  <si>
    <t>PBDE154 µg/kg vv muskel</t>
  </si>
  <si>
    <t>PBDE153 µg/kg vv muskel</t>
  </si>
  <si>
    <t>PBDE209 µg/kg vv muskel</t>
  </si>
  <si>
    <t>SummaPBDE µg/kg vv muskel</t>
  </si>
  <si>
    <t>Summa_PBDE6 (MB) µg/kg vv muskel</t>
  </si>
  <si>
    <t>HBCD µg/kg vv muskel</t>
  </si>
  <si>
    <t>HBCD_lipidnorm (MB) muskel</t>
  </si>
  <si>
    <t>PFOS (MB) µg/kg vv muskel</t>
  </si>
  <si>
    <t>PFOA µg/kg vv muskel</t>
  </si>
  <si>
    <t>PFHxA µg/kg vv muskel</t>
  </si>
  <si>
    <t>PFHxS µg/kg vv muskel</t>
  </si>
  <si>
    <t>PFHpA µg/kg vv muskel</t>
  </si>
  <si>
    <t>PFNA µg/kg vv muskel</t>
  </si>
  <si>
    <t>PFDA µg/kg vv muskel</t>
  </si>
  <si>
    <t>PFDS µg/kg vv muskel</t>
  </si>
  <si>
    <t>PFBS µg/kg vv muskel</t>
  </si>
  <si>
    <t>PFUnDA µg/kg vv muskel</t>
  </si>
  <si>
    <t>PFOSA µg/kg vv muskel</t>
  </si>
  <si>
    <t>PFDoDA µg/kg vv muskel</t>
  </si>
  <si>
    <t>PFTrDA µg/kg vv muskel</t>
  </si>
  <si>
    <t>PFTeDA µg/kg vv muskel</t>
  </si>
  <si>
    <t>6:2 FTS µg/kg vv muskel</t>
  </si>
  <si>
    <t>8:2 FTS µg/kg vv muskel</t>
  </si>
  <si>
    <t>PFHpS µg/kg vv muskel</t>
  </si>
  <si>
    <t>PFNS µg/kg vv muskel</t>
  </si>
  <si>
    <t>PFUnDS µg/kg vv muskel</t>
  </si>
  <si>
    <t>PFDoDS µg/kg vv muskel</t>
  </si>
  <si>
    <t>PFTrDS µg/kg vv muskel</t>
  </si>
  <si>
    <t>PFOS µg/kg vv lever</t>
  </si>
  <si>
    <t>PFOA µg/kg vv lever</t>
  </si>
  <si>
    <t>PFHxA µg/kg vv lever</t>
  </si>
  <si>
    <t>PFHxS µg/kg vv lever</t>
  </si>
  <si>
    <t>PFHpA µg/kg vv lever</t>
  </si>
  <si>
    <t>PFNA µg/kg vv lever</t>
  </si>
  <si>
    <t>PFDA µg/kg vv lever</t>
  </si>
  <si>
    <t>PFDS µg/kg vv lever</t>
  </si>
  <si>
    <t>PFBS µg/kg vv lever</t>
  </si>
  <si>
    <t>PFUnDA µg/kg vv lever</t>
  </si>
  <si>
    <t>PFOSA µg/kg vv lever</t>
  </si>
  <si>
    <t>Kvicksilver (MB) µg/kg vv muskel</t>
  </si>
  <si>
    <t>DiBP  µg/kg vv muskel</t>
  </si>
  <si>
    <t>DBP µg/kg vv muskel</t>
  </si>
  <si>
    <t>BBP µg/kg vv muskel</t>
  </si>
  <si>
    <t>DEHP µg/kg vv muskel</t>
  </si>
  <si>
    <t>DOP µg/kg vv muskel</t>
  </si>
  <si>
    <t>DiNP µg/kg vv muskel</t>
  </si>
  <si>
    <t>DiDP µg/kg vv muskel</t>
  </si>
  <si>
    <t>TiBP µg/kg vv muskel</t>
  </si>
  <si>
    <t>TBP µg/kg vv muskel</t>
  </si>
  <si>
    <t>TCEP µg/kg vv muskel</t>
  </si>
  <si>
    <t>TCPP µg/kg vv muskel</t>
  </si>
  <si>
    <t>DBPhP µg/kg vv muskel</t>
  </si>
  <si>
    <t>DPhBP µg/kg vv muskel</t>
  </si>
  <si>
    <t>TDCPP µg/kg vv muskel</t>
  </si>
  <si>
    <t>TBEP µg/kg vv muskel</t>
  </si>
  <si>
    <t>TPhP µg/kg vv muskel</t>
  </si>
  <si>
    <t>EHDPP µg/kg vv muskel</t>
  </si>
  <si>
    <t>TEHP µg/kg vv muskel</t>
  </si>
  <si>
    <t>ToCP µg/kg vv muskel</t>
  </si>
  <si>
    <t>TCP µg/kg vv muskel</t>
  </si>
  <si>
    <t>PCB 28 ng/g lipid muskel</t>
  </si>
  <si>
    <t>PCB 52 ng/g lipid muskel</t>
  </si>
  <si>
    <t>PCB 101 ng/g lipid muskel</t>
  </si>
  <si>
    <t>PCB 118 ng/g lipid muskel</t>
  </si>
  <si>
    <t>PCB 153 ng/g lipid muskel</t>
  </si>
  <si>
    <t>PCB 138 ng/g lipid muskel</t>
  </si>
  <si>
    <t>PCB180 ng/g lipid muskel</t>
  </si>
  <si>
    <t>Summa PCB7 ng/g lipid muskel</t>
  </si>
  <si>
    <t>PBDE 47* ng/g lipid muskel</t>
  </si>
  <si>
    <t>PBDE-100* ng/g lipid muskel</t>
  </si>
  <si>
    <t>PBDE-99* ng/g lipid muskel</t>
  </si>
  <si>
    <t>PBDE 85* ng/g lipid muskel</t>
  </si>
  <si>
    <t>PBDE 154* ng/g lipid muskel</t>
  </si>
  <si>
    <t>PBDE 153*ng/g lipid muskel</t>
  </si>
  <si>
    <t>PBDE-209* ng/g lipid muskel</t>
  </si>
  <si>
    <t>Summa PBDE ng/g lipid muskel</t>
  </si>
  <si>
    <t>HBCD* ng/g lipid muskel</t>
  </si>
  <si>
    <t>Görväln, Sthlm</t>
  </si>
  <si>
    <t>Skarven</t>
  </si>
  <si>
    <t>Säbysjön</t>
  </si>
  <si>
    <t>Gärväln, Järfälla</t>
  </si>
  <si>
    <t>Görväln, Järfälla</t>
  </si>
  <si>
    <t>&lt;0,053</t>
  </si>
  <si>
    <t>&lt;0,054</t>
  </si>
  <si>
    <t>&lt;0,047</t>
  </si>
  <si>
    <t>&lt;0,052</t>
  </si>
  <si>
    <t>&lt;0,021</t>
  </si>
  <si>
    <t>&lt;0,049</t>
  </si>
  <si>
    <t>&lt;0,051</t>
  </si>
  <si>
    <t>&lt;0,048</t>
  </si>
  <si>
    <t>Inget fångstdatum</t>
  </si>
  <si>
    <t>fryst 2021 analys 2023</t>
  </si>
  <si>
    <t xml:space="preserve"> fryst 2020 analys 2023</t>
  </si>
  <si>
    <t xml:space="preserve"> fryst 2020, analys 2023</t>
  </si>
  <si>
    <t>fryst 2022, analys 2023</t>
  </si>
  <si>
    <t xml:space="preserve"> fryst 2022 analys 2023</t>
  </si>
  <si>
    <t xml:space="preserve"> fryst 2021, analys 2023</t>
  </si>
  <si>
    <t>Magelungen*</t>
  </si>
  <si>
    <t>fryst 2020 analys 2023</t>
  </si>
  <si>
    <t>fryst 2020, analys 2023</t>
  </si>
  <si>
    <t>Strömmen*</t>
  </si>
  <si>
    <t xml:space="preserve">Strömmen* </t>
  </si>
  <si>
    <t>fryst 2021, analys 2023</t>
  </si>
  <si>
    <t xml:space="preserve"> n/a</t>
  </si>
  <si>
    <t>n/a</t>
  </si>
  <si>
    <t>n/a1,4</t>
  </si>
  <si>
    <t>n/a1,9</t>
  </si>
  <si>
    <t>n/a1,0</t>
  </si>
  <si>
    <t>n/a1,7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</si>
</sst>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sz val="11"/>
      <color rgb="FFFF0000"/>
      <name val="Arial"/>
      <family val="2"/>
      <scheme val="minor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70C0"/>
      <name val="Arial"/>
      <family val="2"/>
      <scheme val="minor"/>
    </font>
    <font>
      <sz val="10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E6E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Font="1" applyFill="1" applyBorder="1" applyAlignment="1">
      <alignment horizontal="center" vertical="top"/>
    </xf>
    <xf numFmtId="14" fontId="3" fillId="0" borderId="0" xfId="1" applyNumberFormat="1" applyFont="1" applyFill="1" applyBorder="1" applyAlignment="1">
      <alignment horizontal="center"/>
    </xf>
    <xf numFmtId="14" fontId="3" fillId="0" borderId="0" xfId="2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top"/>
    </xf>
    <xf numFmtId="2" fontId="0" fillId="0" borderId="0" xfId="0" quotePrefix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left" wrapText="1"/>
    </xf>
    <xf numFmtId="1" fontId="3" fillId="0" borderId="0" xfId="1" applyNumberFormat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1" fontId="3" fillId="0" borderId="0" xfId="2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wrapText="1"/>
    </xf>
    <xf numFmtId="0" fontId="0" fillId="0" borderId="3" xfId="0" applyFont="1" applyFill="1" applyBorder="1"/>
    <xf numFmtId="0" fontId="3" fillId="0" borderId="3" xfId="1" applyFont="1" applyFill="1" applyBorder="1" applyAlignment="1">
      <alignment horizontal="left"/>
    </xf>
    <xf numFmtId="0" fontId="3" fillId="0" borderId="3" xfId="2" applyFont="1" applyFill="1" applyBorder="1" applyAlignment="1">
      <alignment horizontal="left"/>
    </xf>
    <xf numFmtId="0" fontId="3" fillId="0" borderId="3" xfId="0" applyFont="1" applyFill="1" applyBorder="1" applyAlignment="1">
      <alignment vertical="top"/>
    </xf>
    <xf numFmtId="0" fontId="0" fillId="0" borderId="3" xfId="0" applyFont="1" applyFill="1" applyBorder="1" applyAlignment="1"/>
    <xf numFmtId="49" fontId="3" fillId="0" borderId="3" xfId="3" applyNumberFormat="1" applyFont="1" applyFill="1" applyBorder="1" applyAlignment="1">
      <alignment horizontal="left"/>
    </xf>
    <xf numFmtId="2" fontId="3" fillId="0" borderId="0" xfId="4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 wrapText="1"/>
    </xf>
    <xf numFmtId="0" fontId="3" fillId="0" borderId="0" xfId="3" applyNumberFormat="1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49" fontId="3" fillId="0" borderId="4" xfId="3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center"/>
    </xf>
    <xf numFmtId="164" fontId="3" fillId="0" borderId="1" xfId="3" applyNumberFormat="1" applyFont="1" applyFill="1" applyBorder="1" applyAlignment="1">
      <alignment horizontal="center" wrapText="1"/>
    </xf>
    <xf numFmtId="0" fontId="3" fillId="0" borderId="1" xfId="3" applyNumberFormat="1" applyFont="1" applyFill="1" applyBorder="1" applyAlignment="1">
      <alignment horizontal="center"/>
    </xf>
    <xf numFmtId="2" fontId="3" fillId="0" borderId="1" xfId="3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 wrapText="1"/>
    </xf>
    <xf numFmtId="1" fontId="3" fillId="0" borderId="0" xfId="3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49" fontId="3" fillId="0" borderId="0" xfId="3" applyNumberFormat="1" applyFont="1" applyFill="1" applyBorder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0" applyFont="1" applyBorder="1"/>
    <xf numFmtId="14" fontId="0" fillId="0" borderId="0" xfId="0" applyNumberFormat="1" applyFont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14" fontId="3" fillId="0" borderId="0" xfId="3" applyNumberFormat="1" applyFont="1" applyFill="1" applyBorder="1" applyAlignment="1">
      <alignment horizontal="center"/>
    </xf>
    <xf numFmtId="14" fontId="3" fillId="0" borderId="1" xfId="3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6" fontId="0" fillId="0" borderId="0" xfId="0" applyNumberFormat="1" applyFont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3" fillId="0" borderId="0" xfId="3" applyNumberFormat="1" applyFont="1" applyAlignment="1">
      <alignment horizontal="center"/>
    </xf>
    <xf numFmtId="0" fontId="3" fillId="0" borderId="1" xfId="3" applyNumberFormat="1" applyFont="1" applyBorder="1" applyAlignment="1">
      <alignment horizontal="center"/>
    </xf>
    <xf numFmtId="49" fontId="3" fillId="0" borderId="0" xfId="3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49" fontId="5" fillId="0" borderId="0" xfId="1" applyNumberFormat="1" applyFont="1"/>
    <xf numFmtId="166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/>
    <xf numFmtId="166" fontId="7" fillId="0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166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 vertical="top"/>
    </xf>
    <xf numFmtId="1" fontId="7" fillId="0" borderId="0" xfId="0" applyNumberFormat="1" applyFont="1" applyAlignment="1">
      <alignment horizontal="center"/>
    </xf>
    <xf numFmtId="49" fontId="7" fillId="0" borderId="0" xfId="1" applyNumberFormat="1" applyFont="1"/>
    <xf numFmtId="0" fontId="7" fillId="0" borderId="0" xfId="1" applyFont="1" applyBorder="1"/>
    <xf numFmtId="0" fontId="7" fillId="0" borderId="0" xfId="0" applyFont="1" applyBorder="1"/>
    <xf numFmtId="0" fontId="7" fillId="0" borderId="0" xfId="1" applyFont="1"/>
    <xf numFmtId="49" fontId="5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0" fillId="0" borderId="0" xfId="0" applyFont="1" applyFill="1" applyBorder="1" applyAlignment="1">
      <alignment horizontal="right"/>
    </xf>
    <xf numFmtId="49" fontId="5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right"/>
    </xf>
    <xf numFmtId="0" fontId="3" fillId="0" borderId="0" xfId="7" applyNumberFormat="1" applyFont="1" applyFill="1" applyBorder="1" applyAlignment="1">
      <alignment horizontal="right"/>
    </xf>
    <xf numFmtId="2" fontId="3" fillId="0" borderId="0" xfId="7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top"/>
    </xf>
    <xf numFmtId="49" fontId="3" fillId="0" borderId="0" xfId="3" applyNumberFormat="1" applyFont="1" applyFill="1" applyBorder="1" applyAlignment="1">
      <alignment horizontal="right"/>
    </xf>
    <xf numFmtId="49" fontId="3" fillId="0" borderId="1" xfId="3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1" fontId="3" fillId="0" borderId="0" xfId="3" applyNumberFormat="1" applyFont="1" applyFill="1" applyBorder="1" applyAlignment="1">
      <alignment horizontal="right"/>
    </xf>
    <xf numFmtId="49" fontId="3" fillId="0" borderId="0" xfId="3" applyNumberFormat="1" applyFont="1" applyFill="1" applyBorder="1" applyAlignment="1">
      <alignment horizontal="right" wrapText="1"/>
    </xf>
    <xf numFmtId="0" fontId="3" fillId="0" borderId="0" xfId="0" applyFont="1" applyFill="1" applyBorder="1"/>
    <xf numFmtId="14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7" fillId="0" borderId="0" xfId="0" applyFont="1" applyFill="1" applyBorder="1"/>
    <xf numFmtId="14" fontId="7" fillId="0" borderId="0" xfId="0" applyNumberFormat="1" applyFont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top"/>
    </xf>
    <xf numFmtId="166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Alignment="1">
      <alignment horizontal="center" vertical="top"/>
    </xf>
    <xf numFmtId="0" fontId="8" fillId="0" borderId="0" xfId="0" applyFont="1" applyFill="1" applyBorder="1"/>
    <xf numFmtId="49" fontId="9" fillId="0" borderId="0" xfId="1" applyNumberFormat="1" applyFont="1"/>
    <xf numFmtId="1" fontId="1" fillId="0" borderId="0" xfId="1" applyNumberFormat="1" applyFont="1" applyBorder="1" applyAlignment="1">
      <alignment horizontal="center"/>
    </xf>
    <xf numFmtId="165" fontId="1" fillId="0" borderId="0" xfId="7" applyNumberFormat="1" applyFont="1" applyFill="1" applyBorder="1" applyAlignment="1">
      <alignment horizontal="center"/>
    </xf>
    <xf numFmtId="0" fontId="1" fillId="0" borderId="0" xfId="3" applyFont="1"/>
    <xf numFmtId="0" fontId="9" fillId="0" borderId="0" xfId="1" applyFont="1" applyBorder="1"/>
    <xf numFmtId="0" fontId="9" fillId="0" borderId="0" xfId="0" applyFont="1" applyBorder="1"/>
    <xf numFmtId="1" fontId="1" fillId="0" borderId="0" xfId="1" applyNumberFormat="1" applyFont="1" applyAlignment="1">
      <alignment horizontal="center"/>
    </xf>
    <xf numFmtId="0" fontId="9" fillId="0" borderId="0" xfId="1" applyFont="1"/>
    <xf numFmtId="0" fontId="0" fillId="2" borderId="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2" borderId="4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right" wrapText="1"/>
    </xf>
    <xf numFmtId="2" fontId="0" fillId="2" borderId="2" xfId="0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2" xfId="0" applyNumberFormat="1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5" fillId="0" borderId="0" xfId="1" applyFont="1"/>
    <xf numFmtId="0" fontId="5" fillId="0" borderId="0" xfId="0" applyFont="1"/>
    <xf numFmtId="0" fontId="0" fillId="3" borderId="0" xfId="0" applyFont="1" applyFill="1" applyAlignment="1">
      <alignment horizontal="left" wrapText="1"/>
    </xf>
    <xf numFmtId="0" fontId="1" fillId="0" borderId="0" xfId="3" applyFont="1" applyAlignment="1">
      <alignment horizontal="center"/>
    </xf>
    <xf numFmtId="164" fontId="1" fillId="0" borderId="0" xfId="3" applyNumberFormat="1" applyFont="1" applyAlignment="1">
      <alignment horizontal="center"/>
    </xf>
    <xf numFmtId="1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6" fontId="1" fillId="0" borderId="0" xfId="3" applyNumberFormat="1" applyFont="1" applyAlignment="1">
      <alignment horizontal="center"/>
    </xf>
    <xf numFmtId="165" fontId="3" fillId="0" borderId="0" xfId="7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49" fontId="3" fillId="0" borderId="0" xfId="3" applyNumberFormat="1" applyFont="1" applyFill="1" applyBorder="1" applyAlignment="1">
      <alignment horizontal="center"/>
    </xf>
    <xf numFmtId="0" fontId="1" fillId="0" borderId="0" xfId="3" applyFont="1" applyAlignment="1"/>
    <xf numFmtId="164" fontId="1" fillId="0" borderId="0" xfId="3" applyNumberFormat="1" applyFont="1" applyAlignment="1"/>
    <xf numFmtId="1" fontId="1" fillId="0" borderId="0" xfId="3" applyNumberFormat="1" applyFont="1" applyAlignment="1"/>
    <xf numFmtId="166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center"/>
    </xf>
    <xf numFmtId="166" fontId="3" fillId="0" borderId="0" xfId="3" applyNumberFormat="1" applyFont="1" applyAlignment="1"/>
    <xf numFmtId="2" fontId="1" fillId="0" borderId="0" xfId="3" applyNumberFormat="1" applyFont="1" applyAlignment="1"/>
    <xf numFmtId="166" fontId="3" fillId="0" borderId="0" xfId="0" applyNumberFormat="1" applyFont="1" applyAlignment="1"/>
    <xf numFmtId="165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166" fontId="1" fillId="0" borderId="0" xfId="3" applyNumberFormat="1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1" fontId="0" fillId="0" borderId="0" xfId="0" applyNumberFormat="1" applyFont="1" applyAlignment="1"/>
    <xf numFmtId="0" fontId="0" fillId="0" borderId="0" xfId="0" applyFont="1" applyAlignment="1"/>
    <xf numFmtId="2" fontId="0" fillId="0" borderId="0" xfId="0" applyNumberFormat="1" applyFont="1" applyAlignment="1">
      <alignment vertical="top"/>
    </xf>
    <xf numFmtId="166" fontId="0" fillId="0" borderId="0" xfId="0" applyNumberFormat="1" applyFont="1" applyAlignment="1"/>
    <xf numFmtId="2" fontId="0" fillId="0" borderId="0" xfId="0" applyNumberFormat="1" applyFont="1"/>
    <xf numFmtId="165" fontId="0" fillId="0" borderId="0" xfId="0" applyNumberFormat="1" applyFont="1" applyFill="1" applyAlignment="1">
      <alignment horizontal="center" vertical="top"/>
    </xf>
    <xf numFmtId="2" fontId="0" fillId="0" borderId="0" xfId="0" applyNumberFormat="1" applyFont="1" applyAlignment="1"/>
    <xf numFmtId="166" fontId="0" fillId="0" borderId="0" xfId="0" applyNumberFormat="1" applyFont="1" applyAlignment="1">
      <alignment vertical="top"/>
    </xf>
    <xf numFmtId="164" fontId="0" fillId="0" borderId="0" xfId="0" applyNumberFormat="1" applyFont="1" applyAlignment="1"/>
    <xf numFmtId="0" fontId="0" fillId="0" borderId="0" xfId="0" applyFont="1" applyAlignment="1">
      <alignment horizontal="left" vertical="top"/>
    </xf>
    <xf numFmtId="166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/>
    <xf numFmtId="14" fontId="0" fillId="0" borderId="0" xfId="0" applyNumberFormat="1" applyFont="1"/>
    <xf numFmtId="165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vertical="top"/>
    </xf>
    <xf numFmtId="1" fontId="0" fillId="0" borderId="0" xfId="0" applyNumberFormat="1" applyFont="1"/>
    <xf numFmtId="49" fontId="0" fillId="0" borderId="0" xfId="0" applyNumberFormat="1" applyFont="1" applyFill="1" applyBorder="1" applyAlignment="1">
      <alignment horizontal="left" vertical="top"/>
    </xf>
    <xf numFmtId="166" fontId="0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vertical="top"/>
    </xf>
    <xf numFmtId="166" fontId="0" fillId="0" borderId="0" xfId="0" applyNumberFormat="1" applyFont="1" applyFill="1" applyAlignment="1">
      <alignment horizontal="center" vertical="top"/>
    </xf>
    <xf numFmtId="2" fontId="0" fillId="0" borderId="0" xfId="0" applyNumberFormat="1" applyFont="1" applyFill="1" applyAlignment="1">
      <alignment horizontal="center" vertical="top"/>
    </xf>
    <xf numFmtId="2" fontId="0" fillId="0" borderId="0" xfId="0" applyNumberFormat="1" applyFont="1" applyAlignment="1">
      <alignment horizontal="center" vertical="top"/>
    </xf>
    <xf numFmtId="49" fontId="3" fillId="0" borderId="0" xfId="1" applyNumberFormat="1" applyFont="1" applyAlignment="1">
      <alignment horizontal="right"/>
    </xf>
    <xf numFmtId="2" fontId="3" fillId="0" borderId="0" xfId="7" applyNumberFormat="1" applyFont="1" applyAlignment="1">
      <alignment horizontal="right" vertical="top"/>
    </xf>
    <xf numFmtId="2" fontId="3" fillId="0" borderId="0" xfId="0" applyNumberFormat="1" applyFont="1" applyAlignment="1">
      <alignment horizontal="center" vertical="top"/>
    </xf>
    <xf numFmtId="166" fontId="3" fillId="0" borderId="0" xfId="0" applyNumberFormat="1" applyFont="1" applyFill="1" applyAlignment="1">
      <alignment horizontal="center" vertical="top"/>
    </xf>
    <xf numFmtId="2" fontId="3" fillId="0" borderId="0" xfId="0" applyNumberFormat="1" applyFont="1" applyFill="1" applyAlignment="1">
      <alignment horizontal="center" vertical="top"/>
    </xf>
    <xf numFmtId="2" fontId="1" fillId="2" borderId="2" xfId="7" applyNumberFormat="1" applyFont="1" applyFill="1" applyBorder="1" applyAlignment="1">
      <alignment horizontal="right" wrapText="1"/>
    </xf>
    <xf numFmtId="0" fontId="1" fillId="0" borderId="0" xfId="3" applyFont="1" applyAlignment="1">
      <alignment horizontal="left"/>
    </xf>
    <xf numFmtId="0" fontId="1" fillId="0" borderId="0" xfId="3" applyFont="1" applyFill="1" applyAlignment="1">
      <alignment horizontal="left"/>
    </xf>
    <xf numFmtId="0" fontId="0" fillId="0" borderId="0" xfId="0" applyFont="1" applyFill="1"/>
    <xf numFmtId="0" fontId="14" fillId="0" borderId="0" xfId="3" applyFont="1" applyAlignment="1"/>
    <xf numFmtId="0" fontId="14" fillId="0" borderId="0" xfId="0" applyFont="1" applyAlignment="1"/>
    <xf numFmtId="166" fontId="14" fillId="0" borderId="0" xfId="0" applyNumberFormat="1" applyFont="1" applyAlignment="1"/>
    <xf numFmtId="0" fontId="1" fillId="0" borderId="0" xfId="3" applyFont="1" applyFill="1"/>
    <xf numFmtId="165" fontId="14" fillId="0" borderId="0" xfId="0" applyNumberFormat="1" applyFont="1" applyAlignment="1"/>
    <xf numFmtId="166" fontId="14" fillId="0" borderId="0" xfId="3" applyNumberFormat="1" applyFont="1" applyAlignment="1"/>
    <xf numFmtId="165" fontId="1" fillId="0" borderId="0" xfId="7" applyNumberFormat="1" applyFont="1" applyFill="1" applyAlignment="1">
      <alignment horizontal="center" vertical="top"/>
    </xf>
    <xf numFmtId="14" fontId="0" fillId="0" borderId="0" xfId="0" applyNumberFormat="1" applyFont="1" applyAlignment="1">
      <alignment wrapText="1"/>
    </xf>
    <xf numFmtId="49" fontId="1" fillId="0" borderId="0" xfId="1" applyNumberFormat="1" applyFont="1"/>
    <xf numFmtId="49" fontId="0" fillId="0" borderId="0" xfId="0" applyNumberFormat="1" applyFont="1" applyAlignment="1">
      <alignment horizontal="left" vertical="top"/>
    </xf>
    <xf numFmtId="0" fontId="1" fillId="0" borderId="0" xfId="1" applyFont="1" applyBorder="1"/>
    <xf numFmtId="0" fontId="1" fillId="0" borderId="0" xfId="1" applyFont="1"/>
    <xf numFmtId="2" fontId="0" fillId="0" borderId="0" xfId="0" applyNumberFormat="1" applyFont="1" applyFill="1" applyBorder="1" applyAlignment="1">
      <alignment horizontal="center" wrapText="1"/>
    </xf>
    <xf numFmtId="2" fontId="1" fillId="0" borderId="0" xfId="7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top" wrapText="1"/>
    </xf>
    <xf numFmtId="2" fontId="1" fillId="0" borderId="0" xfId="4" applyNumberFormat="1" applyFont="1" applyFill="1" applyBorder="1" applyAlignment="1">
      <alignment horizontal="center"/>
    </xf>
    <xf numFmtId="2" fontId="1" fillId="0" borderId="1" xfId="7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7" xfId="0" applyNumberFormat="1" applyFont="1" applyFill="1" applyBorder="1" applyAlignment="1">
      <alignment horizontal="center"/>
    </xf>
    <xf numFmtId="0" fontId="1" fillId="0" borderId="0" xfId="4" applyFont="1" applyBorder="1" applyAlignment="1">
      <alignment horizontal="center"/>
    </xf>
    <xf numFmtId="2" fontId="1" fillId="3" borderId="2" xfId="7" applyNumberFormat="1" applyFont="1" applyFill="1" applyBorder="1" applyAlignment="1">
      <alignment horizontal="right" wrapText="1"/>
    </xf>
    <xf numFmtId="0" fontId="14" fillId="0" borderId="0" xfId="3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166" fontId="14" fillId="0" borderId="0" xfId="3" applyNumberFormat="1" applyFont="1" applyAlignment="1">
      <alignment horizontal="center"/>
    </xf>
    <xf numFmtId="0" fontId="15" fillId="0" borderId="0" xfId="0" applyFont="1" applyAlignment="1">
      <alignment horizontal="center"/>
    </xf>
    <xf numFmtId="166" fontId="7" fillId="0" borderId="0" xfId="0" applyNumberFormat="1" applyFont="1" applyFill="1" applyBorder="1" applyAlignment="1">
      <alignment horizontal="center"/>
    </xf>
  </cellXfs>
  <cellStyles count="8">
    <cellStyle name="Normal" xfId="0" builtinId="0"/>
    <cellStyle name="Normal 2" xfId="3" xr:uid="{00000000-0005-0000-0000-000001000000}"/>
    <cellStyle name="Normal 3" xfId="1" xr:uid="{00000000-0005-0000-0000-000002000000}"/>
    <cellStyle name="Normal 4" xfId="4" xr:uid="{00000000-0005-0000-0000-000003000000}"/>
    <cellStyle name="Normal 5" xfId="6" xr:uid="{00000000-0005-0000-0000-000004000000}"/>
    <cellStyle name="Normal 6 3" xfId="2" xr:uid="{00000000-0005-0000-0000-000005000000}"/>
    <cellStyle name="Normal 7" xfId="5" xr:uid="{00000000-0005-0000-0000-000006000000}"/>
    <cellStyle name="Procent" xfId="7" builtinId="5"/>
  </cellStyles>
  <dxfs count="15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auto="1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CC"/>
      <color rgb="FFDDE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322565</xdr:colOff>
      <xdr:row>5</xdr:row>
      <xdr:rowOff>165364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095375"/>
          <a:ext cx="5204128" cy="522552"/>
        </a:xfrm>
        <a:prstGeom prst="rect">
          <a:avLst/>
        </a:prstGeom>
        <a:solidFill>
          <a:srgbClr val="FFFF99"/>
        </a:solidFill>
        <a:ln w="381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/>
            <a:t>Halter under rapporteringsgräns</a:t>
          </a:r>
          <a:r>
            <a:rPr lang="sv-SE" sz="1100" b="0" baseline="0"/>
            <a:t> har ersatts med värdet för halva rapporteringsgränsen (&lt; ersatt med =0,5*)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Stockholms stad">
      <a:dk1>
        <a:srgbClr val="000000"/>
      </a:dk1>
      <a:lt1>
        <a:srgbClr val="FFFFFF"/>
      </a:lt1>
      <a:dk2>
        <a:srgbClr val="C40064"/>
      </a:dk2>
      <a:lt2>
        <a:srgbClr val="FEDEED"/>
      </a:lt2>
      <a:accent1>
        <a:srgbClr val="00867F"/>
      </a:accent1>
      <a:accent2>
        <a:srgbClr val="D5F7F4"/>
      </a:accent2>
      <a:accent3>
        <a:srgbClr val="006EBF"/>
      </a:accent3>
      <a:accent4>
        <a:srgbClr val="DCD9D2"/>
      </a:accent4>
      <a:accent5>
        <a:srgbClr val="5D237D"/>
      </a:accent5>
      <a:accent6>
        <a:srgbClr val="F1E6FC"/>
      </a:accent6>
      <a:hlink>
        <a:srgbClr val="006EBF"/>
      </a:hlink>
      <a:folHlink>
        <a:srgbClr val="5D237D"/>
      </a:folHlink>
    </a:clrScheme>
    <a:fontScheme name="Stockholms stad - Exce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331"/>
  <sheetViews>
    <sheetView zoomScale="40" zoomScaleNormal="40" workbookViewId="0">
      <pane ySplit="1" topLeftCell="A2" activePane="bottomLeft" state="frozen"/>
      <selection pane="bottomLeft" sqref="A1:XFD1048576"/>
    </sheetView>
  </sheetViews>
  <sheetFormatPr defaultColWidth="9" defaultRowHeight="14" x14ac:dyDescent="0.3"/>
  <cols>
    <col min="1" max="1" width="21.33203125" style="14" bestFit="1" customWidth="1"/>
    <col min="2" max="2" width="23.83203125" style="14" customWidth="1"/>
    <col min="3" max="3" width="7.75" style="14" bestFit="1" customWidth="1"/>
    <col min="4" max="4" width="10.83203125" style="14" customWidth="1"/>
    <col min="5" max="5" width="10.08203125" style="15" customWidth="1"/>
    <col min="6" max="6" width="11" style="15" customWidth="1"/>
    <col min="7" max="7" width="20.58203125" style="16" bestFit="1" customWidth="1"/>
    <col min="8" max="8" width="5.5" style="16" bestFit="1" customWidth="1"/>
    <col min="9" max="9" width="11.25" style="16" bestFit="1" customWidth="1"/>
    <col min="10" max="10" width="11.25" style="16" customWidth="1"/>
    <col min="11" max="11" width="15" style="251" bestFit="1" customWidth="1"/>
    <col min="12" max="12" width="12.5" style="5" bestFit="1" customWidth="1"/>
    <col min="13" max="13" width="15.08203125" style="5" bestFit="1" customWidth="1"/>
    <col min="14" max="14" width="8.25" style="5" bestFit="1" customWidth="1"/>
    <col min="15" max="15" width="9.25" style="5" bestFit="1" customWidth="1"/>
    <col min="16" max="19" width="9.33203125" style="5" bestFit="1" customWidth="1"/>
    <col min="20" max="20" width="14" style="5" bestFit="1" customWidth="1"/>
    <col min="21" max="21" width="19.33203125" style="5" customWidth="1"/>
    <col min="22" max="22" width="19.5" style="5" bestFit="1" customWidth="1"/>
    <col min="23" max="29" width="9.25" style="5" bestFit="1" customWidth="1"/>
    <col min="30" max="30" width="21.25" style="5" bestFit="1" customWidth="1"/>
    <col min="31" max="32" width="21" style="5" customWidth="1"/>
    <col min="33" max="33" width="18.33203125" style="250" bestFit="1" customWidth="1"/>
    <col min="34" max="34" width="9.33203125" style="250" bestFit="1" customWidth="1"/>
    <col min="35" max="44" width="9.25" style="5" bestFit="1" customWidth="1"/>
    <col min="45" max="48" width="9.25" style="5" customWidth="1"/>
    <col min="49" max="49" width="18.83203125" style="5" bestFit="1" customWidth="1"/>
    <col min="50" max="54" width="18.83203125" style="5" customWidth="1"/>
    <col min="55" max="65" width="9.25" style="5" bestFit="1" customWidth="1"/>
    <col min="66" max="86" width="9" style="5"/>
    <col min="87" max="88" width="12.08203125" style="16" bestFit="1" customWidth="1"/>
    <col min="89" max="95" width="9.08203125" style="16" bestFit="1" customWidth="1"/>
    <col min="96" max="98" width="12.08203125" style="16" bestFit="1" customWidth="1"/>
    <col min="99" max="99" width="9.08203125" style="16" bestFit="1" customWidth="1"/>
    <col min="100" max="101" width="12.08203125" style="16" bestFit="1" customWidth="1"/>
    <col min="102" max="102" width="9.08203125" style="16" bestFit="1" customWidth="1"/>
    <col min="103" max="103" width="22.83203125" style="97" bestFit="1" customWidth="1"/>
    <col min="104" max="16384" width="9" style="14"/>
  </cols>
  <sheetData>
    <row r="1" spans="1:103" s="15" customFormat="1" ht="56.5" thickBot="1" x14ac:dyDescent="0.35">
      <c r="A1" s="172" t="s">
        <v>111</v>
      </c>
      <c r="B1" s="173" t="s">
        <v>0</v>
      </c>
      <c r="C1" s="173" t="s">
        <v>17</v>
      </c>
      <c r="D1" s="174" t="s">
        <v>110</v>
      </c>
      <c r="E1" s="162" t="s">
        <v>2</v>
      </c>
      <c r="F1" s="162" t="s">
        <v>2</v>
      </c>
      <c r="G1" s="175" t="s">
        <v>1</v>
      </c>
      <c r="H1" s="175" t="s">
        <v>18</v>
      </c>
      <c r="I1" s="175" t="s">
        <v>284</v>
      </c>
      <c r="J1" s="175" t="s">
        <v>113</v>
      </c>
      <c r="K1" s="259" t="s">
        <v>282</v>
      </c>
      <c r="L1" s="176" t="s">
        <v>283</v>
      </c>
      <c r="M1" s="176" t="s">
        <v>274</v>
      </c>
      <c r="N1" s="176" t="s">
        <v>275</v>
      </c>
      <c r="O1" s="176" t="s">
        <v>276</v>
      </c>
      <c r="P1" s="176" t="s">
        <v>277</v>
      </c>
      <c r="Q1" s="176" t="s">
        <v>278</v>
      </c>
      <c r="R1" s="176" t="s">
        <v>279</v>
      </c>
      <c r="S1" s="176" t="s">
        <v>280</v>
      </c>
      <c r="T1" s="176" t="s">
        <v>281</v>
      </c>
      <c r="U1" s="176" t="s">
        <v>285</v>
      </c>
      <c r="V1" s="176" t="s">
        <v>286</v>
      </c>
      <c r="W1" s="176" t="s">
        <v>287</v>
      </c>
      <c r="X1" s="176" t="s">
        <v>288</v>
      </c>
      <c r="Y1" s="176" t="s">
        <v>289</v>
      </c>
      <c r="Z1" s="176" t="s">
        <v>290</v>
      </c>
      <c r="AA1" s="176" t="s">
        <v>291</v>
      </c>
      <c r="AB1" s="176" t="s">
        <v>292</v>
      </c>
      <c r="AC1" s="176" t="s">
        <v>293</v>
      </c>
      <c r="AD1" s="176" t="s">
        <v>294</v>
      </c>
      <c r="AE1" s="176" t="s">
        <v>295</v>
      </c>
      <c r="AF1" s="176" t="s">
        <v>296</v>
      </c>
      <c r="AG1" s="176" t="s">
        <v>297</v>
      </c>
      <c r="AH1" s="176" t="s">
        <v>298</v>
      </c>
      <c r="AI1" s="176" t="s">
        <v>299</v>
      </c>
      <c r="AJ1" s="176" t="s">
        <v>300</v>
      </c>
      <c r="AK1" s="176" t="s">
        <v>301</v>
      </c>
      <c r="AL1" s="176" t="s">
        <v>302</v>
      </c>
      <c r="AM1" s="176" t="s">
        <v>303</v>
      </c>
      <c r="AN1" s="176" t="s">
        <v>304</v>
      </c>
      <c r="AO1" s="176" t="s">
        <v>305</v>
      </c>
      <c r="AP1" s="176" t="s">
        <v>306</v>
      </c>
      <c r="AQ1" s="176" t="s">
        <v>307</v>
      </c>
      <c r="AR1" s="176" t="s">
        <v>308</v>
      </c>
      <c r="AS1" s="176" t="s">
        <v>309</v>
      </c>
      <c r="AT1" s="176" t="s">
        <v>310</v>
      </c>
      <c r="AU1" s="176" t="s">
        <v>311</v>
      </c>
      <c r="AV1" s="176" t="s">
        <v>312</v>
      </c>
      <c r="AW1" s="176" t="s">
        <v>313</v>
      </c>
      <c r="AX1" s="181" t="s">
        <v>314</v>
      </c>
      <c r="AY1" s="181" t="s">
        <v>315</v>
      </c>
      <c r="AZ1" s="181" t="s">
        <v>316</v>
      </c>
      <c r="BA1" s="181" t="s">
        <v>317</v>
      </c>
      <c r="BB1" s="181" t="s">
        <v>318</v>
      </c>
      <c r="BC1" s="176" t="s">
        <v>319</v>
      </c>
      <c r="BD1" s="176" t="s">
        <v>320</v>
      </c>
      <c r="BE1" s="176" t="s">
        <v>321</v>
      </c>
      <c r="BF1" s="176" t="s">
        <v>322</v>
      </c>
      <c r="BG1" s="176" t="s">
        <v>323</v>
      </c>
      <c r="BH1" s="176" t="s">
        <v>324</v>
      </c>
      <c r="BI1" s="176" t="s">
        <v>325</v>
      </c>
      <c r="BJ1" s="176" t="s">
        <v>326</v>
      </c>
      <c r="BK1" s="176" t="s">
        <v>327</v>
      </c>
      <c r="BL1" s="176" t="s">
        <v>328</v>
      </c>
      <c r="BM1" s="176" t="s">
        <v>329</v>
      </c>
      <c r="BN1" s="176" t="s">
        <v>330</v>
      </c>
      <c r="BO1" s="176" t="s">
        <v>331</v>
      </c>
      <c r="BP1" s="176" t="s">
        <v>332</v>
      </c>
      <c r="BQ1" s="176" t="s">
        <v>333</v>
      </c>
      <c r="BR1" s="176" t="s">
        <v>334</v>
      </c>
      <c r="BS1" s="176" t="s">
        <v>335</v>
      </c>
      <c r="BT1" s="176" t="s">
        <v>336</v>
      </c>
      <c r="BU1" s="176" t="s">
        <v>337</v>
      </c>
      <c r="BV1" s="176" t="s">
        <v>338</v>
      </c>
      <c r="BW1" s="176" t="s">
        <v>339</v>
      </c>
      <c r="BX1" s="176" t="s">
        <v>340</v>
      </c>
      <c r="BY1" s="176" t="s">
        <v>341</v>
      </c>
      <c r="BZ1" s="176" t="s">
        <v>342</v>
      </c>
      <c r="CA1" s="176" t="s">
        <v>343</v>
      </c>
      <c r="CB1" s="176" t="s">
        <v>344</v>
      </c>
      <c r="CC1" s="176" t="s">
        <v>345</v>
      </c>
      <c r="CD1" s="176" t="s">
        <v>346</v>
      </c>
      <c r="CE1" s="176" t="s">
        <v>347</v>
      </c>
      <c r="CF1" s="176" t="s">
        <v>348</v>
      </c>
      <c r="CG1" s="176" t="s">
        <v>349</v>
      </c>
      <c r="CH1" s="176" t="s">
        <v>350</v>
      </c>
      <c r="CI1" s="177" t="s">
        <v>351</v>
      </c>
      <c r="CJ1" s="177" t="s">
        <v>352</v>
      </c>
      <c r="CK1" s="177" t="s">
        <v>353</v>
      </c>
      <c r="CL1" s="177" t="s">
        <v>354</v>
      </c>
      <c r="CM1" s="177" t="s">
        <v>355</v>
      </c>
      <c r="CN1" s="177" t="s">
        <v>356</v>
      </c>
      <c r="CO1" s="177" t="s">
        <v>357</v>
      </c>
      <c r="CP1" s="177" t="s">
        <v>358</v>
      </c>
      <c r="CQ1" s="175" t="s">
        <v>359</v>
      </c>
      <c r="CR1" s="175" t="s">
        <v>360</v>
      </c>
      <c r="CS1" s="175" t="s">
        <v>361</v>
      </c>
      <c r="CT1" s="175" t="s">
        <v>362</v>
      </c>
      <c r="CU1" s="175" t="s">
        <v>363</v>
      </c>
      <c r="CV1" s="175" t="s">
        <v>364</v>
      </c>
      <c r="CW1" s="175" t="s">
        <v>365</v>
      </c>
      <c r="CX1" s="175" t="s">
        <v>366</v>
      </c>
      <c r="CY1" s="178" t="s">
        <v>367</v>
      </c>
    </row>
    <row r="2" spans="1:103" s="204" customFormat="1" x14ac:dyDescent="0.3">
      <c r="A2" s="235" t="s">
        <v>21</v>
      </c>
      <c r="B2" s="98" t="s">
        <v>21</v>
      </c>
      <c r="C2" s="154" t="s">
        <v>20</v>
      </c>
      <c r="D2" s="154"/>
      <c r="E2" s="154"/>
      <c r="F2" s="154"/>
      <c r="G2" s="204" t="s">
        <v>381</v>
      </c>
      <c r="H2" s="204">
        <v>2024</v>
      </c>
      <c r="I2" s="75" t="s">
        <v>33</v>
      </c>
      <c r="J2" s="75">
        <v>10</v>
      </c>
      <c r="K2" s="190">
        <v>0.56093829678735097</v>
      </c>
      <c r="L2" s="24" t="s">
        <v>394</v>
      </c>
      <c r="M2" s="260">
        <v>2.1999999999999999E-2</v>
      </c>
      <c r="N2" s="182">
        <v>7.1999999999999995E-2</v>
      </c>
      <c r="O2" s="182">
        <v>1.3</v>
      </c>
      <c r="P2" s="183">
        <v>1</v>
      </c>
      <c r="Q2" s="182">
        <v>5.7</v>
      </c>
      <c r="R2" s="182">
        <v>4.7</v>
      </c>
      <c r="S2" s="182">
        <v>2.1</v>
      </c>
      <c r="T2" s="184">
        <v>14.894</v>
      </c>
      <c r="U2" s="84">
        <f>SUM(M2,N2,O2,Q2,R2,S2)*(5/K2)</f>
        <v>123.84606363636416</v>
      </c>
      <c r="V2" s="205" t="s">
        <v>34</v>
      </c>
      <c r="W2" s="205">
        <v>0.15</v>
      </c>
      <c r="X2" s="205">
        <v>5.2999999999999999E-2</v>
      </c>
      <c r="Y2" s="205">
        <v>5.5E-2</v>
      </c>
      <c r="Z2" s="205" t="s">
        <v>34</v>
      </c>
      <c r="AA2" s="205">
        <v>2.7E-2</v>
      </c>
      <c r="AB2" s="261">
        <v>1.9E-2</v>
      </c>
      <c r="AC2" s="74" t="s">
        <v>373</v>
      </c>
      <c r="AD2" s="228">
        <v>0.3</v>
      </c>
      <c r="AE2" s="205">
        <f t="shared" ref="AE2:AE24" si="0">SUM(V2,W2,Y2,X2,AB2,AA2)</f>
        <v>0.30400000000000005</v>
      </c>
      <c r="AF2" s="71">
        <v>4.5999999999999999E-2</v>
      </c>
      <c r="AG2" s="205">
        <f t="shared" ref="AG2:AG23" si="1">AF2*(5/K2)</f>
        <v>0.41002727272727446</v>
      </c>
      <c r="AH2" s="84">
        <v>22.865939716312056</v>
      </c>
      <c r="AI2" s="85" t="s">
        <v>133</v>
      </c>
      <c r="AJ2" s="85" t="s">
        <v>133</v>
      </c>
      <c r="AK2" s="262">
        <v>7.2872340425531923E-2</v>
      </c>
      <c r="AL2" s="85" t="s">
        <v>133</v>
      </c>
      <c r="AM2" s="85" t="s">
        <v>133</v>
      </c>
      <c r="AN2" s="85">
        <v>0.78278368794326247</v>
      </c>
      <c r="AO2" s="85">
        <v>0.3340425531914894</v>
      </c>
      <c r="AP2" s="85" t="s">
        <v>133</v>
      </c>
      <c r="AQ2" s="85">
        <v>0.51319148936170211</v>
      </c>
      <c r="AR2" s="85" t="s">
        <v>133</v>
      </c>
      <c r="AS2" s="85">
        <v>0.81478723404255327</v>
      </c>
      <c r="AT2" s="85">
        <v>0.1722340425531915</v>
      </c>
      <c r="AU2" s="85" t="s">
        <v>36</v>
      </c>
      <c r="AV2" s="85" t="s">
        <v>133</v>
      </c>
      <c r="AW2" s="85" t="s">
        <v>133</v>
      </c>
      <c r="AX2" s="85" t="s">
        <v>133</v>
      </c>
      <c r="AY2" s="85" t="s">
        <v>133</v>
      </c>
      <c r="AZ2" s="85" t="s">
        <v>133</v>
      </c>
      <c r="BA2" s="85" t="s">
        <v>133</v>
      </c>
      <c r="BB2" s="85" t="s">
        <v>133</v>
      </c>
      <c r="BC2" s="205" t="s">
        <v>395</v>
      </c>
      <c r="BD2" s="205" t="s">
        <v>395</v>
      </c>
      <c r="BE2" s="205" t="s">
        <v>395</v>
      </c>
      <c r="BF2" s="205" t="s">
        <v>395</v>
      </c>
      <c r="BG2" s="205" t="s">
        <v>395</v>
      </c>
      <c r="BH2" s="205" t="s">
        <v>395</v>
      </c>
      <c r="BI2" s="205" t="s">
        <v>395</v>
      </c>
      <c r="BJ2" s="205" t="s">
        <v>395</v>
      </c>
      <c r="BK2" s="205" t="s">
        <v>395</v>
      </c>
      <c r="BL2" s="205" t="s">
        <v>395</v>
      </c>
      <c r="BM2" s="205" t="s">
        <v>395</v>
      </c>
      <c r="BN2" s="182">
        <v>75</v>
      </c>
      <c r="BO2" s="205" t="s">
        <v>395</v>
      </c>
      <c r="BP2" s="205" t="s">
        <v>395</v>
      </c>
      <c r="BQ2" s="205" t="s">
        <v>395</v>
      </c>
      <c r="BR2" s="205" t="s">
        <v>395</v>
      </c>
      <c r="BS2" s="205" t="s">
        <v>395</v>
      </c>
      <c r="BT2" s="205" t="s">
        <v>395</v>
      </c>
      <c r="BU2" s="205" t="s">
        <v>395</v>
      </c>
      <c r="BV2" s="205" t="s">
        <v>395</v>
      </c>
      <c r="BW2" s="205" t="s">
        <v>395</v>
      </c>
      <c r="BX2" s="205" t="s">
        <v>395</v>
      </c>
      <c r="BY2" s="205" t="s">
        <v>395</v>
      </c>
      <c r="BZ2" s="205" t="s">
        <v>395</v>
      </c>
      <c r="CA2" s="205" t="s">
        <v>395</v>
      </c>
      <c r="CB2" s="205" t="s">
        <v>395</v>
      </c>
      <c r="CC2" s="205" t="s">
        <v>395</v>
      </c>
      <c r="CD2" s="205" t="s">
        <v>395</v>
      </c>
      <c r="CE2" s="205" t="s">
        <v>395</v>
      </c>
      <c r="CF2" s="205" t="s">
        <v>395</v>
      </c>
      <c r="CG2" s="205" t="s">
        <v>395</v>
      </c>
      <c r="CH2" s="205" t="s">
        <v>395</v>
      </c>
      <c r="CI2" s="263" t="s">
        <v>395</v>
      </c>
      <c r="CJ2" s="263" t="s">
        <v>395</v>
      </c>
      <c r="CK2" s="263" t="s">
        <v>395</v>
      </c>
      <c r="CL2" s="263" t="s">
        <v>395</v>
      </c>
      <c r="CM2" s="263" t="s">
        <v>395</v>
      </c>
      <c r="CN2" s="263" t="s">
        <v>395</v>
      </c>
      <c r="CO2" s="263" t="s">
        <v>395</v>
      </c>
      <c r="CP2" s="263" t="s">
        <v>395</v>
      </c>
      <c r="CQ2" s="263" t="s">
        <v>395</v>
      </c>
      <c r="CR2" s="263" t="s">
        <v>395</v>
      </c>
      <c r="CS2" s="263" t="s">
        <v>395</v>
      </c>
      <c r="CT2" s="263" t="s">
        <v>395</v>
      </c>
      <c r="CU2" s="263" t="s">
        <v>395</v>
      </c>
      <c r="CV2" s="263" t="s">
        <v>395</v>
      </c>
      <c r="CW2" s="263" t="s">
        <v>395</v>
      </c>
      <c r="CX2" s="263" t="s">
        <v>395</v>
      </c>
      <c r="CY2" s="263" t="s">
        <v>395</v>
      </c>
    </row>
    <row r="3" spans="1:103" s="204" customFormat="1" x14ac:dyDescent="0.3">
      <c r="A3" s="235" t="s">
        <v>4</v>
      </c>
      <c r="B3" s="98" t="s">
        <v>4</v>
      </c>
      <c r="C3" s="154" t="s">
        <v>20</v>
      </c>
      <c r="D3" s="154"/>
      <c r="E3" s="154"/>
      <c r="F3" s="154"/>
      <c r="G3" s="219">
        <v>45496</v>
      </c>
      <c r="H3" s="204">
        <v>2024</v>
      </c>
      <c r="I3" s="75" t="s">
        <v>33</v>
      </c>
      <c r="J3" s="75">
        <v>10</v>
      </c>
      <c r="K3" s="190">
        <v>0.58800848274532402</v>
      </c>
      <c r="L3" s="24" t="s">
        <v>394</v>
      </c>
      <c r="M3" s="182">
        <v>1.1000000000000001</v>
      </c>
      <c r="N3" s="182">
        <v>1.8</v>
      </c>
      <c r="O3" s="182">
        <v>5.4</v>
      </c>
      <c r="P3" s="182">
        <v>4.5999999999999996</v>
      </c>
      <c r="Q3" s="182">
        <v>10</v>
      </c>
      <c r="R3" s="182">
        <v>9.1999999999999993</v>
      </c>
      <c r="S3" s="182">
        <v>2.6</v>
      </c>
      <c r="T3" s="184">
        <v>34.699999999999996</v>
      </c>
      <c r="U3" s="84">
        <f t="shared" ref="U3:U23" si="2">SUM(M3,N3,O3,Q3,R3,S3)*(5/K3)</f>
        <v>255.94868852459055</v>
      </c>
      <c r="V3" s="205" t="s">
        <v>34</v>
      </c>
      <c r="W3" s="205">
        <v>0.18</v>
      </c>
      <c r="X3" s="205">
        <v>0.11</v>
      </c>
      <c r="Y3" s="205">
        <v>8.5999999999999993E-2</v>
      </c>
      <c r="Z3" s="205" t="s">
        <v>34</v>
      </c>
      <c r="AA3" s="261">
        <v>2.1999999999999999E-2</v>
      </c>
      <c r="AB3" s="205">
        <v>1.6E-2</v>
      </c>
      <c r="AC3" s="74" t="s">
        <v>374</v>
      </c>
      <c r="AD3" s="228">
        <v>0.41</v>
      </c>
      <c r="AE3" s="205">
        <f t="shared" si="0"/>
        <v>0.41400000000000003</v>
      </c>
      <c r="AF3" s="71">
        <v>2.8000000000000001E-2</v>
      </c>
      <c r="AG3" s="205">
        <f t="shared" si="1"/>
        <v>0.23809180327868887</v>
      </c>
      <c r="AH3" s="84">
        <v>14.292919020715633</v>
      </c>
      <c r="AI3" s="85" t="s">
        <v>133</v>
      </c>
      <c r="AJ3" s="85">
        <v>0.22212806026365348</v>
      </c>
      <c r="AK3" s="85" t="s">
        <v>133</v>
      </c>
      <c r="AL3" s="85" t="s">
        <v>133</v>
      </c>
      <c r="AM3" s="262">
        <v>8.2919020715630884E-2</v>
      </c>
      <c r="AN3" s="85">
        <v>0.63126177024482111</v>
      </c>
      <c r="AO3" s="264">
        <v>0.13468926553672317</v>
      </c>
      <c r="AP3" s="85" t="s">
        <v>133</v>
      </c>
      <c r="AQ3" s="85">
        <v>0.77909604519774012</v>
      </c>
      <c r="AR3" s="85" t="s">
        <v>133</v>
      </c>
      <c r="AS3" s="85">
        <v>1.7424858757062147</v>
      </c>
      <c r="AT3" s="85">
        <v>0.322090395480226</v>
      </c>
      <c r="AU3" s="262">
        <v>8.5329566854990574E-2</v>
      </c>
      <c r="AV3" s="85" t="s">
        <v>133</v>
      </c>
      <c r="AW3" s="85" t="s">
        <v>133</v>
      </c>
      <c r="AX3" s="85" t="s">
        <v>133</v>
      </c>
      <c r="AY3" s="85" t="s">
        <v>133</v>
      </c>
      <c r="AZ3" s="262">
        <v>6.1751412429378524E-2</v>
      </c>
      <c r="BA3" s="85" t="s">
        <v>133</v>
      </c>
      <c r="BB3" s="262">
        <v>5.2598870056497174E-2</v>
      </c>
      <c r="BC3" s="205" t="s">
        <v>395</v>
      </c>
      <c r="BD3" s="205" t="s">
        <v>395</v>
      </c>
      <c r="BE3" s="205" t="s">
        <v>395</v>
      </c>
      <c r="BF3" s="205" t="s">
        <v>395</v>
      </c>
      <c r="BG3" s="205" t="s">
        <v>395</v>
      </c>
      <c r="BH3" s="205" t="s">
        <v>395</v>
      </c>
      <c r="BI3" s="205" t="s">
        <v>395</v>
      </c>
      <c r="BJ3" s="205" t="s">
        <v>395</v>
      </c>
      <c r="BK3" s="205" t="s">
        <v>395</v>
      </c>
      <c r="BL3" s="205" t="s">
        <v>395</v>
      </c>
      <c r="BM3" s="205" t="s">
        <v>395</v>
      </c>
      <c r="BN3" s="182">
        <v>96</v>
      </c>
      <c r="BO3" s="205" t="s">
        <v>395</v>
      </c>
      <c r="BP3" s="205" t="s">
        <v>395</v>
      </c>
      <c r="BQ3" s="205" t="s">
        <v>395</v>
      </c>
      <c r="BR3" s="205" t="s">
        <v>395</v>
      </c>
      <c r="BS3" s="205" t="s">
        <v>395</v>
      </c>
      <c r="BT3" s="205" t="s">
        <v>395</v>
      </c>
      <c r="BU3" s="205" t="s">
        <v>395</v>
      </c>
      <c r="BV3" s="205" t="s">
        <v>395</v>
      </c>
      <c r="BW3" s="205" t="s">
        <v>395</v>
      </c>
      <c r="BX3" s="205" t="s">
        <v>395</v>
      </c>
      <c r="BY3" s="205" t="s">
        <v>395</v>
      </c>
      <c r="BZ3" s="205" t="s">
        <v>395</v>
      </c>
      <c r="CA3" s="205" t="s">
        <v>395</v>
      </c>
      <c r="CB3" s="205" t="s">
        <v>395</v>
      </c>
      <c r="CC3" s="205" t="s">
        <v>395</v>
      </c>
      <c r="CD3" s="205" t="s">
        <v>395</v>
      </c>
      <c r="CE3" s="205" t="s">
        <v>395</v>
      </c>
      <c r="CF3" s="205" t="s">
        <v>395</v>
      </c>
      <c r="CG3" s="205" t="s">
        <v>395</v>
      </c>
      <c r="CH3" s="205" t="s">
        <v>395</v>
      </c>
      <c r="CI3" s="263" t="s">
        <v>395</v>
      </c>
      <c r="CJ3" s="263" t="s">
        <v>395</v>
      </c>
      <c r="CK3" s="263" t="s">
        <v>395</v>
      </c>
      <c r="CL3" s="263" t="s">
        <v>395</v>
      </c>
      <c r="CM3" s="263" t="s">
        <v>395</v>
      </c>
      <c r="CN3" s="263" t="s">
        <v>395</v>
      </c>
      <c r="CO3" s="263" t="s">
        <v>395</v>
      </c>
      <c r="CP3" s="263" t="s">
        <v>395</v>
      </c>
      <c r="CQ3" s="263" t="s">
        <v>395</v>
      </c>
      <c r="CR3" s="263" t="s">
        <v>395</v>
      </c>
      <c r="CS3" s="263" t="s">
        <v>395</v>
      </c>
      <c r="CT3" s="263" t="s">
        <v>395</v>
      </c>
      <c r="CU3" s="263" t="s">
        <v>395</v>
      </c>
      <c r="CV3" s="263" t="s">
        <v>395</v>
      </c>
      <c r="CW3" s="263" t="s">
        <v>395</v>
      </c>
      <c r="CX3" s="263" t="s">
        <v>395</v>
      </c>
      <c r="CY3" s="263" t="s">
        <v>395</v>
      </c>
    </row>
    <row r="4" spans="1:103" s="204" customFormat="1" x14ac:dyDescent="0.3">
      <c r="A4" s="235" t="s">
        <v>8</v>
      </c>
      <c r="B4" s="98" t="s">
        <v>8</v>
      </c>
      <c r="C4" s="154" t="s">
        <v>20</v>
      </c>
      <c r="D4" s="154"/>
      <c r="E4" s="154"/>
      <c r="F4" s="154"/>
      <c r="G4" s="219">
        <v>45504</v>
      </c>
      <c r="H4" s="204">
        <v>2024</v>
      </c>
      <c r="I4" s="75" t="s">
        <v>33</v>
      </c>
      <c r="J4" s="75">
        <v>10</v>
      </c>
      <c r="K4" s="190">
        <v>0.63867657836875702</v>
      </c>
      <c r="L4" s="24" t="s">
        <v>394</v>
      </c>
      <c r="M4" s="185" t="s">
        <v>39</v>
      </c>
      <c r="N4" s="182">
        <v>2.3E-2</v>
      </c>
      <c r="O4" s="182">
        <v>0.42</v>
      </c>
      <c r="P4" s="182">
        <v>0.43</v>
      </c>
      <c r="Q4" s="182">
        <v>2.2000000000000002</v>
      </c>
      <c r="R4" s="182">
        <v>1.6</v>
      </c>
      <c r="S4" s="186">
        <v>0.8</v>
      </c>
      <c r="T4" s="183">
        <v>5.4729999999999999</v>
      </c>
      <c r="U4" s="84">
        <f t="shared" si="2"/>
        <v>39.480076229508214</v>
      </c>
      <c r="V4" s="205" t="s">
        <v>78</v>
      </c>
      <c r="W4" s="205">
        <v>5.0999999999999997E-2</v>
      </c>
      <c r="X4" s="205">
        <v>6.2E-2</v>
      </c>
      <c r="Y4" s="205" t="s">
        <v>56</v>
      </c>
      <c r="Z4" s="205" t="s">
        <v>78</v>
      </c>
      <c r="AA4" s="261">
        <v>1.2E-2</v>
      </c>
      <c r="AB4" s="205" t="s">
        <v>78</v>
      </c>
      <c r="AC4" s="74" t="s">
        <v>71</v>
      </c>
      <c r="AD4" s="228">
        <v>0.12</v>
      </c>
      <c r="AE4" s="205">
        <f t="shared" si="0"/>
        <v>0.12499999999999999</v>
      </c>
      <c r="AF4" s="71">
        <v>1.2999999999999999E-2</v>
      </c>
      <c r="AG4" s="205">
        <f t="shared" si="1"/>
        <v>0.10177295081967216</v>
      </c>
      <c r="AH4" s="84">
        <v>13.249415481832544</v>
      </c>
      <c r="AI4" s="85" t="s">
        <v>133</v>
      </c>
      <c r="AJ4" s="85" t="s">
        <v>133</v>
      </c>
      <c r="AK4" s="85" t="s">
        <v>133</v>
      </c>
      <c r="AL4" s="85" t="s">
        <v>133</v>
      </c>
      <c r="AM4" s="264">
        <v>0.10259083728278041</v>
      </c>
      <c r="AN4" s="86">
        <v>1.880916271721959</v>
      </c>
      <c r="AO4" s="264">
        <v>0.1261611374407583</v>
      </c>
      <c r="AP4" s="85" t="s">
        <v>133</v>
      </c>
      <c r="AQ4" s="85">
        <v>0.76928909952606639</v>
      </c>
      <c r="AR4" s="85" t="s">
        <v>133</v>
      </c>
      <c r="AS4" s="85">
        <v>0.5223696682464456</v>
      </c>
      <c r="AT4" s="85" t="s">
        <v>133</v>
      </c>
      <c r="AU4" s="85" t="s">
        <v>36</v>
      </c>
      <c r="AV4" s="85" t="s">
        <v>133</v>
      </c>
      <c r="AW4" s="85" t="s">
        <v>133</v>
      </c>
      <c r="AX4" s="85" t="s">
        <v>133</v>
      </c>
      <c r="AY4" s="85" t="s">
        <v>133</v>
      </c>
      <c r="AZ4" s="85" t="s">
        <v>133</v>
      </c>
      <c r="BA4" s="85" t="s">
        <v>133</v>
      </c>
      <c r="BB4" s="85" t="s">
        <v>133</v>
      </c>
      <c r="BC4" s="205" t="s">
        <v>395</v>
      </c>
      <c r="BD4" s="205" t="s">
        <v>395</v>
      </c>
      <c r="BE4" s="205" t="s">
        <v>395</v>
      </c>
      <c r="BF4" s="205" t="s">
        <v>395</v>
      </c>
      <c r="BG4" s="205" t="s">
        <v>395</v>
      </c>
      <c r="BH4" s="205" t="s">
        <v>395</v>
      </c>
      <c r="BI4" s="205" t="s">
        <v>395</v>
      </c>
      <c r="BJ4" s="205" t="s">
        <v>395</v>
      </c>
      <c r="BK4" s="205" t="s">
        <v>395</v>
      </c>
      <c r="BL4" s="205" t="s">
        <v>395</v>
      </c>
      <c r="BM4" s="205" t="s">
        <v>395</v>
      </c>
      <c r="BN4" s="182">
        <v>80</v>
      </c>
      <c r="BO4" s="205" t="s">
        <v>395</v>
      </c>
      <c r="BP4" s="205" t="s">
        <v>395</v>
      </c>
      <c r="BQ4" s="205" t="s">
        <v>395</v>
      </c>
      <c r="BR4" s="205" t="s">
        <v>395</v>
      </c>
      <c r="BS4" s="205" t="s">
        <v>395</v>
      </c>
      <c r="BT4" s="205" t="s">
        <v>395</v>
      </c>
      <c r="BU4" s="205" t="s">
        <v>395</v>
      </c>
      <c r="BV4" s="205" t="s">
        <v>395</v>
      </c>
      <c r="BW4" s="205" t="s">
        <v>395</v>
      </c>
      <c r="BX4" s="205" t="s">
        <v>395</v>
      </c>
      <c r="BY4" s="205" t="s">
        <v>395</v>
      </c>
      <c r="BZ4" s="205" t="s">
        <v>395</v>
      </c>
      <c r="CA4" s="205" t="s">
        <v>395</v>
      </c>
      <c r="CB4" s="205" t="s">
        <v>395</v>
      </c>
      <c r="CC4" s="205" t="s">
        <v>395</v>
      </c>
      <c r="CD4" s="205" t="s">
        <v>395</v>
      </c>
      <c r="CE4" s="205" t="s">
        <v>395</v>
      </c>
      <c r="CF4" s="205" t="s">
        <v>395</v>
      </c>
      <c r="CG4" s="205" t="s">
        <v>395</v>
      </c>
      <c r="CH4" s="205" t="s">
        <v>395</v>
      </c>
      <c r="CI4" s="263" t="s">
        <v>395</v>
      </c>
      <c r="CJ4" s="263" t="s">
        <v>395</v>
      </c>
      <c r="CK4" s="263" t="s">
        <v>395</v>
      </c>
      <c r="CL4" s="263" t="s">
        <v>395</v>
      </c>
      <c r="CM4" s="263" t="s">
        <v>395</v>
      </c>
      <c r="CN4" s="263" t="s">
        <v>395</v>
      </c>
      <c r="CO4" s="263" t="s">
        <v>395</v>
      </c>
      <c r="CP4" s="263" t="s">
        <v>395</v>
      </c>
      <c r="CQ4" s="263" t="s">
        <v>395</v>
      </c>
      <c r="CR4" s="263" t="s">
        <v>395</v>
      </c>
      <c r="CS4" s="263" t="s">
        <v>395</v>
      </c>
      <c r="CT4" s="263" t="s">
        <v>395</v>
      </c>
      <c r="CU4" s="263" t="s">
        <v>395</v>
      </c>
      <c r="CV4" s="263" t="s">
        <v>395</v>
      </c>
      <c r="CW4" s="263" t="s">
        <v>395</v>
      </c>
      <c r="CX4" s="263" t="s">
        <v>395</v>
      </c>
      <c r="CY4" s="263" t="s">
        <v>395</v>
      </c>
    </row>
    <row r="5" spans="1:103" s="204" customFormat="1" x14ac:dyDescent="0.3">
      <c r="A5" s="235" t="s">
        <v>22</v>
      </c>
      <c r="B5" s="98" t="s">
        <v>22</v>
      </c>
      <c r="C5" s="154" t="s">
        <v>20</v>
      </c>
      <c r="D5" s="154"/>
      <c r="E5" s="154"/>
      <c r="F5" s="154"/>
      <c r="G5" s="219">
        <v>45496</v>
      </c>
      <c r="H5" s="204">
        <v>2024</v>
      </c>
      <c r="I5" s="75" t="s">
        <v>33</v>
      </c>
      <c r="J5" s="75">
        <v>10</v>
      </c>
      <c r="K5" s="212">
        <v>0.78455662227728395</v>
      </c>
      <c r="L5" s="24" t="s">
        <v>394</v>
      </c>
      <c r="M5" s="182">
        <v>0.39</v>
      </c>
      <c r="N5" s="182">
        <v>0.71</v>
      </c>
      <c r="O5" s="182">
        <v>2.6</v>
      </c>
      <c r="P5" s="182">
        <v>2.7</v>
      </c>
      <c r="Q5" s="182">
        <v>6.7</v>
      </c>
      <c r="R5" s="182">
        <v>5.9</v>
      </c>
      <c r="S5" s="182">
        <v>1.7</v>
      </c>
      <c r="T5" s="184">
        <v>20.7</v>
      </c>
      <c r="U5" s="84">
        <f t="shared" si="2"/>
        <v>114.71447368420978</v>
      </c>
      <c r="V5" s="205" t="s">
        <v>76</v>
      </c>
      <c r="W5" s="205">
        <v>0.11</v>
      </c>
      <c r="X5" s="85">
        <v>0.1</v>
      </c>
      <c r="Y5" s="205">
        <v>0.12</v>
      </c>
      <c r="Z5" s="205" t="s">
        <v>76</v>
      </c>
      <c r="AA5" s="261">
        <v>1.7999999999999999E-2</v>
      </c>
      <c r="AB5" s="205" t="s">
        <v>76</v>
      </c>
      <c r="AC5" s="74" t="s">
        <v>375</v>
      </c>
      <c r="AD5" s="81">
        <v>0.35</v>
      </c>
      <c r="AE5" s="205">
        <f t="shared" si="0"/>
        <v>0.34799999999999998</v>
      </c>
      <c r="AF5" s="71">
        <v>3.5000000000000003E-2</v>
      </c>
      <c r="AG5" s="205">
        <f t="shared" si="1"/>
        <v>0.22305592105263014</v>
      </c>
      <c r="AH5" s="86">
        <v>5.4498619329388553</v>
      </c>
      <c r="AI5" s="85" t="s">
        <v>133</v>
      </c>
      <c r="AJ5" s="85" t="s">
        <v>133</v>
      </c>
      <c r="AK5" s="85" t="s">
        <v>133</v>
      </c>
      <c r="AL5" s="85" t="s">
        <v>133</v>
      </c>
      <c r="AM5" s="264">
        <v>9.5779092702169624E-2</v>
      </c>
      <c r="AN5" s="85">
        <v>0.39635108481262327</v>
      </c>
      <c r="AO5" s="85" t="s">
        <v>133</v>
      </c>
      <c r="AP5" s="85" t="s">
        <v>133</v>
      </c>
      <c r="AQ5" s="85">
        <v>0.32414201183431957</v>
      </c>
      <c r="AR5" s="85" t="s">
        <v>133</v>
      </c>
      <c r="AS5" s="85">
        <v>0.50751479289940826</v>
      </c>
      <c r="AT5" s="262">
        <v>7.6390532544378692E-2</v>
      </c>
      <c r="AU5" s="85" t="s">
        <v>36</v>
      </c>
      <c r="AV5" s="85" t="s">
        <v>133</v>
      </c>
      <c r="AW5" s="85" t="s">
        <v>133</v>
      </c>
      <c r="AX5" s="85" t="s">
        <v>133</v>
      </c>
      <c r="AY5" s="85" t="s">
        <v>133</v>
      </c>
      <c r="AZ5" s="85" t="s">
        <v>133</v>
      </c>
      <c r="BA5" s="85" t="s">
        <v>133</v>
      </c>
      <c r="BB5" s="85" t="s">
        <v>133</v>
      </c>
      <c r="BC5" s="205" t="s">
        <v>395</v>
      </c>
      <c r="BD5" s="205" t="s">
        <v>395</v>
      </c>
      <c r="BE5" s="205" t="s">
        <v>395</v>
      </c>
      <c r="BF5" s="205" t="s">
        <v>395</v>
      </c>
      <c r="BG5" s="205" t="s">
        <v>395</v>
      </c>
      <c r="BH5" s="205" t="s">
        <v>395</v>
      </c>
      <c r="BI5" s="205" t="s">
        <v>395</v>
      </c>
      <c r="BJ5" s="205" t="s">
        <v>395</v>
      </c>
      <c r="BK5" s="205" t="s">
        <v>395</v>
      </c>
      <c r="BL5" s="205" t="s">
        <v>395</v>
      </c>
      <c r="BM5" s="205" t="s">
        <v>395</v>
      </c>
      <c r="BN5" s="182">
        <v>150</v>
      </c>
      <c r="BO5" s="205" t="s">
        <v>395</v>
      </c>
      <c r="BP5" s="205" t="s">
        <v>395</v>
      </c>
      <c r="BQ5" s="205" t="s">
        <v>395</v>
      </c>
      <c r="BR5" s="205" t="s">
        <v>395</v>
      </c>
      <c r="BS5" s="205" t="s">
        <v>395</v>
      </c>
      <c r="BT5" s="205" t="s">
        <v>395</v>
      </c>
      <c r="BU5" s="205" t="s">
        <v>395</v>
      </c>
      <c r="BV5" s="205" t="s">
        <v>395</v>
      </c>
      <c r="BW5" s="205" t="s">
        <v>395</v>
      </c>
      <c r="BX5" s="205" t="s">
        <v>395</v>
      </c>
      <c r="BY5" s="205" t="s">
        <v>395</v>
      </c>
      <c r="BZ5" s="205" t="s">
        <v>395</v>
      </c>
      <c r="CA5" s="205" t="s">
        <v>395</v>
      </c>
      <c r="CB5" s="205" t="s">
        <v>395</v>
      </c>
      <c r="CC5" s="205" t="s">
        <v>395</v>
      </c>
      <c r="CD5" s="205" t="s">
        <v>395</v>
      </c>
      <c r="CE5" s="205" t="s">
        <v>395</v>
      </c>
      <c r="CF5" s="205" t="s">
        <v>395</v>
      </c>
      <c r="CG5" s="205" t="s">
        <v>395</v>
      </c>
      <c r="CH5" s="205" t="s">
        <v>395</v>
      </c>
      <c r="CI5" s="263" t="s">
        <v>395</v>
      </c>
      <c r="CJ5" s="263" t="s">
        <v>395</v>
      </c>
      <c r="CK5" s="263" t="s">
        <v>395</v>
      </c>
      <c r="CL5" s="263" t="s">
        <v>395</v>
      </c>
      <c r="CM5" s="263" t="s">
        <v>395</v>
      </c>
      <c r="CN5" s="263" t="s">
        <v>395</v>
      </c>
      <c r="CO5" s="263" t="s">
        <v>395</v>
      </c>
      <c r="CP5" s="263" t="s">
        <v>395</v>
      </c>
      <c r="CQ5" s="263" t="s">
        <v>395</v>
      </c>
      <c r="CR5" s="263" t="s">
        <v>395</v>
      </c>
      <c r="CS5" s="263" t="s">
        <v>395</v>
      </c>
      <c r="CT5" s="263" t="s">
        <v>395</v>
      </c>
      <c r="CU5" s="263" t="s">
        <v>395</v>
      </c>
      <c r="CV5" s="263" t="s">
        <v>395</v>
      </c>
      <c r="CW5" s="263" t="s">
        <v>395</v>
      </c>
      <c r="CX5" s="263" t="s">
        <v>395</v>
      </c>
      <c r="CY5" s="263" t="s">
        <v>395</v>
      </c>
    </row>
    <row r="6" spans="1:103" s="204" customFormat="1" x14ac:dyDescent="0.3">
      <c r="A6" s="235" t="s">
        <v>79</v>
      </c>
      <c r="B6" s="98" t="s">
        <v>79</v>
      </c>
      <c r="C6" s="154" t="s">
        <v>20</v>
      </c>
      <c r="D6" s="154"/>
      <c r="E6" s="154"/>
      <c r="F6" s="154"/>
      <c r="G6" s="219">
        <v>45497</v>
      </c>
      <c r="H6" s="204">
        <v>2024</v>
      </c>
      <c r="I6" s="75" t="s">
        <v>33</v>
      </c>
      <c r="J6" s="75">
        <v>10</v>
      </c>
      <c r="K6" s="212">
        <v>0.86401974902286804</v>
      </c>
      <c r="L6" s="24" t="s">
        <v>394</v>
      </c>
      <c r="M6" s="182">
        <v>0.33</v>
      </c>
      <c r="N6" s="182">
        <v>0.84</v>
      </c>
      <c r="O6" s="182">
        <v>3.6</v>
      </c>
      <c r="P6" s="182">
        <v>2.5</v>
      </c>
      <c r="Q6" s="182">
        <v>6.3</v>
      </c>
      <c r="R6" s="182">
        <v>6.3</v>
      </c>
      <c r="S6" s="182">
        <v>2.1</v>
      </c>
      <c r="T6" s="184">
        <v>21.970000000000002</v>
      </c>
      <c r="U6" s="84">
        <f t="shared" si="2"/>
        <v>112.67103571428139</v>
      </c>
      <c r="V6" s="205" t="s">
        <v>78</v>
      </c>
      <c r="W6" s="205">
        <v>6.0999999999999999E-2</v>
      </c>
      <c r="X6" s="205">
        <v>3.5999999999999997E-2</v>
      </c>
      <c r="Y6" s="205">
        <v>3.1E-2</v>
      </c>
      <c r="Z6" s="205" t="s">
        <v>78</v>
      </c>
      <c r="AA6" s="262">
        <v>0.01</v>
      </c>
      <c r="AB6" s="261">
        <v>1.9E-2</v>
      </c>
      <c r="AC6" s="74" t="s">
        <v>376</v>
      </c>
      <c r="AD6" s="81">
        <v>0.156</v>
      </c>
      <c r="AE6" s="205">
        <f t="shared" si="0"/>
        <v>0.157</v>
      </c>
      <c r="AF6" s="71">
        <v>2.7E-2</v>
      </c>
      <c r="AG6" s="205">
        <f t="shared" si="1"/>
        <v>0.15624642857142257</v>
      </c>
      <c r="AH6" s="86">
        <v>5.3816036036036037</v>
      </c>
      <c r="AI6" s="85" t="s">
        <v>133</v>
      </c>
      <c r="AJ6" s="85" t="s">
        <v>133</v>
      </c>
      <c r="AK6" s="85" t="s">
        <v>133</v>
      </c>
      <c r="AL6" s="85" t="s">
        <v>133</v>
      </c>
      <c r="AM6" s="262">
        <v>5.4738738738738739E-2</v>
      </c>
      <c r="AN6" s="85">
        <v>0.21223423423423424</v>
      </c>
      <c r="AO6" s="85" t="s">
        <v>133</v>
      </c>
      <c r="AP6" s="85" t="s">
        <v>133</v>
      </c>
      <c r="AQ6" s="85">
        <v>0.35589189189189191</v>
      </c>
      <c r="AR6" s="262">
        <v>7.924324324324325E-2</v>
      </c>
      <c r="AS6" s="85">
        <v>0.25010810810810807</v>
      </c>
      <c r="AT6" s="85" t="s">
        <v>133</v>
      </c>
      <c r="AU6" s="264">
        <v>0.11985585585585586</v>
      </c>
      <c r="AV6" s="85" t="s">
        <v>133</v>
      </c>
      <c r="AW6" s="85" t="s">
        <v>133</v>
      </c>
      <c r="AX6" s="85" t="s">
        <v>133</v>
      </c>
      <c r="AY6" s="85" t="s">
        <v>133</v>
      </c>
      <c r="AZ6" s="85" t="s">
        <v>133</v>
      </c>
      <c r="BA6" s="262">
        <v>6.2162162162162159E-2</v>
      </c>
      <c r="BB6" s="262">
        <v>7.8972972972972968E-2</v>
      </c>
      <c r="BC6" s="205" t="s">
        <v>395</v>
      </c>
      <c r="BD6" s="205" t="s">
        <v>395</v>
      </c>
      <c r="BE6" s="205" t="s">
        <v>395</v>
      </c>
      <c r="BF6" s="205" t="s">
        <v>395</v>
      </c>
      <c r="BG6" s="205" t="s">
        <v>395</v>
      </c>
      <c r="BH6" s="205" t="s">
        <v>395</v>
      </c>
      <c r="BI6" s="205" t="s">
        <v>395</v>
      </c>
      <c r="BJ6" s="205" t="s">
        <v>395</v>
      </c>
      <c r="BK6" s="205" t="s">
        <v>395</v>
      </c>
      <c r="BL6" s="205" t="s">
        <v>395</v>
      </c>
      <c r="BM6" s="205" t="s">
        <v>395</v>
      </c>
      <c r="BN6" s="182">
        <v>160</v>
      </c>
      <c r="BO6" s="205" t="s">
        <v>395</v>
      </c>
      <c r="BP6" s="205" t="s">
        <v>395</v>
      </c>
      <c r="BQ6" s="205" t="s">
        <v>395</v>
      </c>
      <c r="BR6" s="205" t="s">
        <v>395</v>
      </c>
      <c r="BS6" s="205" t="s">
        <v>395</v>
      </c>
      <c r="BT6" s="205" t="s">
        <v>395</v>
      </c>
      <c r="BU6" s="205" t="s">
        <v>395</v>
      </c>
      <c r="BV6" s="205" t="s">
        <v>395</v>
      </c>
      <c r="BW6" s="205" t="s">
        <v>395</v>
      </c>
      <c r="BX6" s="205" t="s">
        <v>395</v>
      </c>
      <c r="BY6" s="205" t="s">
        <v>395</v>
      </c>
      <c r="BZ6" s="205" t="s">
        <v>395</v>
      </c>
      <c r="CA6" s="205" t="s">
        <v>395</v>
      </c>
      <c r="CB6" s="205" t="s">
        <v>395</v>
      </c>
      <c r="CC6" s="205" t="s">
        <v>395</v>
      </c>
      <c r="CD6" s="205" t="s">
        <v>395</v>
      </c>
      <c r="CE6" s="205" t="s">
        <v>395</v>
      </c>
      <c r="CF6" s="205" t="s">
        <v>395</v>
      </c>
      <c r="CG6" s="205" t="s">
        <v>395</v>
      </c>
      <c r="CH6" s="205" t="s">
        <v>395</v>
      </c>
      <c r="CI6" s="263" t="s">
        <v>395</v>
      </c>
      <c r="CJ6" s="263" t="s">
        <v>395</v>
      </c>
      <c r="CK6" s="263" t="s">
        <v>395</v>
      </c>
      <c r="CL6" s="263" t="s">
        <v>395</v>
      </c>
      <c r="CM6" s="263" t="s">
        <v>395</v>
      </c>
      <c r="CN6" s="263" t="s">
        <v>395</v>
      </c>
      <c r="CO6" s="263" t="s">
        <v>395</v>
      </c>
      <c r="CP6" s="263" t="s">
        <v>395</v>
      </c>
      <c r="CQ6" s="263" t="s">
        <v>395</v>
      </c>
      <c r="CR6" s="263" t="s">
        <v>395</v>
      </c>
      <c r="CS6" s="263" t="s">
        <v>395</v>
      </c>
      <c r="CT6" s="263" t="s">
        <v>395</v>
      </c>
      <c r="CU6" s="263" t="s">
        <v>395</v>
      </c>
      <c r="CV6" s="263" t="s">
        <v>395</v>
      </c>
      <c r="CW6" s="263" t="s">
        <v>395</v>
      </c>
      <c r="CX6" s="263" t="s">
        <v>395</v>
      </c>
      <c r="CY6" s="263" t="s">
        <v>395</v>
      </c>
    </row>
    <row r="7" spans="1:103" s="204" customFormat="1" x14ac:dyDescent="0.3">
      <c r="A7" s="235" t="s">
        <v>6</v>
      </c>
      <c r="B7" s="98" t="s">
        <v>6</v>
      </c>
      <c r="C7" s="154" t="s">
        <v>20</v>
      </c>
      <c r="D7" s="154"/>
      <c r="E7" s="154"/>
      <c r="F7" s="154"/>
      <c r="G7" s="219">
        <v>45505</v>
      </c>
      <c r="H7" s="204">
        <v>2024</v>
      </c>
      <c r="I7" s="75" t="s">
        <v>33</v>
      </c>
      <c r="J7" s="75">
        <v>10</v>
      </c>
      <c r="K7" s="212">
        <v>0.71652033504892498</v>
      </c>
      <c r="L7" s="24" t="s">
        <v>394</v>
      </c>
      <c r="M7" s="260">
        <v>3.7999999999999999E-2</v>
      </c>
      <c r="N7" s="182">
        <v>0.2</v>
      </c>
      <c r="O7" s="182">
        <v>1.5</v>
      </c>
      <c r="P7" s="182">
        <v>0.98</v>
      </c>
      <c r="Q7" s="182">
        <v>3.1</v>
      </c>
      <c r="R7" s="182">
        <v>2.7</v>
      </c>
      <c r="S7" s="182">
        <v>0.86</v>
      </c>
      <c r="T7" s="183">
        <v>9.3780000000000001</v>
      </c>
      <c r="U7" s="84">
        <f t="shared" si="2"/>
        <v>58.60266338028336</v>
      </c>
      <c r="V7" s="205" t="s">
        <v>40</v>
      </c>
      <c r="W7" s="205">
        <v>9.1999999999999998E-2</v>
      </c>
      <c r="X7" s="205">
        <v>4.9000000000000002E-2</v>
      </c>
      <c r="Y7" s="205">
        <v>5.8999999999999997E-2</v>
      </c>
      <c r="Z7" s="205" t="s">
        <v>40</v>
      </c>
      <c r="AA7" s="261">
        <v>1.0999999999999999E-2</v>
      </c>
      <c r="AB7" s="205" t="s">
        <v>40</v>
      </c>
      <c r="AC7" s="74" t="s">
        <v>373</v>
      </c>
      <c r="AD7" s="228">
        <v>0.21</v>
      </c>
      <c r="AE7" s="205">
        <f t="shared" si="0"/>
        <v>0.21100000000000002</v>
      </c>
      <c r="AF7" s="71">
        <v>0.04</v>
      </c>
      <c r="AG7" s="205">
        <f t="shared" si="1"/>
        <v>0.27912676056338825</v>
      </c>
      <c r="AH7" s="86">
        <v>5.6990610328638498</v>
      </c>
      <c r="AI7" s="85" t="s">
        <v>133</v>
      </c>
      <c r="AJ7" s="85" t="s">
        <v>133</v>
      </c>
      <c r="AK7" s="85" t="s">
        <v>133</v>
      </c>
      <c r="AL7" s="85" t="s">
        <v>133</v>
      </c>
      <c r="AM7" s="262">
        <v>5.6455399061032863E-2</v>
      </c>
      <c r="AN7" s="85">
        <v>0.46988262910798123</v>
      </c>
      <c r="AO7" s="85" t="s">
        <v>133</v>
      </c>
      <c r="AP7" s="85" t="s">
        <v>133</v>
      </c>
      <c r="AQ7" s="85">
        <v>0.28387323943661974</v>
      </c>
      <c r="AR7" s="85" t="s">
        <v>133</v>
      </c>
      <c r="AS7" s="85">
        <v>0.14830985915492959</v>
      </c>
      <c r="AT7" s="85" t="s">
        <v>133</v>
      </c>
      <c r="AU7" s="85" t="s">
        <v>36</v>
      </c>
      <c r="AV7" s="85" t="s">
        <v>133</v>
      </c>
      <c r="AW7" s="85" t="s">
        <v>133</v>
      </c>
      <c r="AX7" s="85" t="s">
        <v>133</v>
      </c>
      <c r="AY7" s="85" t="s">
        <v>133</v>
      </c>
      <c r="AZ7" s="85" t="s">
        <v>133</v>
      </c>
      <c r="BA7" s="85" t="s">
        <v>133</v>
      </c>
      <c r="BB7" s="85" t="s">
        <v>133</v>
      </c>
      <c r="BC7" s="205" t="s">
        <v>395</v>
      </c>
      <c r="BD7" s="205" t="s">
        <v>395</v>
      </c>
      <c r="BE7" s="205" t="s">
        <v>395</v>
      </c>
      <c r="BF7" s="205" t="s">
        <v>395</v>
      </c>
      <c r="BG7" s="205" t="s">
        <v>395</v>
      </c>
      <c r="BH7" s="205" t="s">
        <v>395</v>
      </c>
      <c r="BI7" s="205" t="s">
        <v>395</v>
      </c>
      <c r="BJ7" s="205" t="s">
        <v>395</v>
      </c>
      <c r="BK7" s="205" t="s">
        <v>395</v>
      </c>
      <c r="BL7" s="205" t="s">
        <v>395</v>
      </c>
      <c r="BM7" s="205" t="s">
        <v>395</v>
      </c>
      <c r="BN7" s="182">
        <v>34</v>
      </c>
      <c r="BO7" s="205" t="s">
        <v>395</v>
      </c>
      <c r="BP7" s="205" t="s">
        <v>395</v>
      </c>
      <c r="BQ7" s="205" t="s">
        <v>395</v>
      </c>
      <c r="BR7" s="205" t="s">
        <v>395</v>
      </c>
      <c r="BS7" s="205" t="s">
        <v>395</v>
      </c>
      <c r="BT7" s="205" t="s">
        <v>395</v>
      </c>
      <c r="BU7" s="205" t="s">
        <v>395</v>
      </c>
      <c r="BV7" s="205" t="s">
        <v>395</v>
      </c>
      <c r="BW7" s="205" t="s">
        <v>395</v>
      </c>
      <c r="BX7" s="205" t="s">
        <v>395</v>
      </c>
      <c r="BY7" s="205" t="s">
        <v>395</v>
      </c>
      <c r="BZ7" s="205" t="s">
        <v>395</v>
      </c>
      <c r="CA7" s="205" t="s">
        <v>395</v>
      </c>
      <c r="CB7" s="205" t="s">
        <v>395</v>
      </c>
      <c r="CC7" s="205" t="s">
        <v>395</v>
      </c>
      <c r="CD7" s="205" t="s">
        <v>395</v>
      </c>
      <c r="CE7" s="205" t="s">
        <v>395</v>
      </c>
      <c r="CF7" s="205" t="s">
        <v>395</v>
      </c>
      <c r="CG7" s="205" t="s">
        <v>395</v>
      </c>
      <c r="CH7" s="205" t="s">
        <v>395</v>
      </c>
      <c r="CI7" s="263" t="s">
        <v>395</v>
      </c>
      <c r="CJ7" s="263" t="s">
        <v>395</v>
      </c>
      <c r="CK7" s="263" t="s">
        <v>395</v>
      </c>
      <c r="CL7" s="263" t="s">
        <v>395</v>
      </c>
      <c r="CM7" s="263" t="s">
        <v>395</v>
      </c>
      <c r="CN7" s="263" t="s">
        <v>395</v>
      </c>
      <c r="CO7" s="263" t="s">
        <v>395</v>
      </c>
      <c r="CP7" s="263" t="s">
        <v>395</v>
      </c>
      <c r="CQ7" s="263" t="s">
        <v>395</v>
      </c>
      <c r="CR7" s="263" t="s">
        <v>395</v>
      </c>
      <c r="CS7" s="263" t="s">
        <v>395</v>
      </c>
      <c r="CT7" s="263" t="s">
        <v>395</v>
      </c>
      <c r="CU7" s="263" t="s">
        <v>395</v>
      </c>
      <c r="CV7" s="263" t="s">
        <v>395</v>
      </c>
      <c r="CW7" s="263" t="s">
        <v>395</v>
      </c>
      <c r="CX7" s="263" t="s">
        <v>395</v>
      </c>
      <c r="CY7" s="263" t="s">
        <v>395</v>
      </c>
    </row>
    <row r="8" spans="1:103" s="204" customFormat="1" x14ac:dyDescent="0.3">
      <c r="A8" s="235" t="s">
        <v>368</v>
      </c>
      <c r="B8" s="98" t="s">
        <v>368</v>
      </c>
      <c r="C8" s="154" t="s">
        <v>20</v>
      </c>
      <c r="D8" s="154"/>
      <c r="E8" s="154"/>
      <c r="F8" s="154"/>
      <c r="G8" s="219">
        <v>45537</v>
      </c>
      <c r="H8" s="204">
        <v>2024</v>
      </c>
      <c r="I8" s="75" t="s">
        <v>33</v>
      </c>
      <c r="J8" s="75">
        <v>10</v>
      </c>
      <c r="K8" s="212">
        <v>0.89772039540043003</v>
      </c>
      <c r="L8" s="24" t="s">
        <v>394</v>
      </c>
      <c r="M8" s="182">
        <v>0.05</v>
      </c>
      <c r="N8" s="182">
        <v>0.18</v>
      </c>
      <c r="O8" s="182">
        <v>0.25</v>
      </c>
      <c r="P8" s="182">
        <v>0.25</v>
      </c>
      <c r="Q8" s="182">
        <v>0.45</v>
      </c>
      <c r="R8" s="182">
        <v>0.38</v>
      </c>
      <c r="S8" s="182">
        <v>9.1999999999999998E-2</v>
      </c>
      <c r="T8" s="183">
        <v>1.6520000000000001</v>
      </c>
      <c r="U8" s="84">
        <f t="shared" si="2"/>
        <v>7.8086674157304579</v>
      </c>
      <c r="V8" s="205" t="s">
        <v>40</v>
      </c>
      <c r="W8" s="261">
        <v>1.7999999999999999E-2</v>
      </c>
      <c r="X8" s="205" t="s">
        <v>377</v>
      </c>
      <c r="Y8" s="205" t="s">
        <v>377</v>
      </c>
      <c r="Z8" s="205" t="s">
        <v>40</v>
      </c>
      <c r="AA8" s="265">
        <v>8.9999999999999993E-3</v>
      </c>
      <c r="AB8" s="205" t="s">
        <v>40</v>
      </c>
      <c r="AC8" s="81" t="s">
        <v>376</v>
      </c>
      <c r="AD8" s="81">
        <v>2.6999999999999996E-2</v>
      </c>
      <c r="AE8" s="205">
        <f t="shared" si="0"/>
        <v>2.6999999999999996E-2</v>
      </c>
      <c r="AF8" s="71">
        <v>3.0000000000000001E-3</v>
      </c>
      <c r="AG8" s="205">
        <f t="shared" si="1"/>
        <v>1.6708988764045203E-2</v>
      </c>
      <c r="AH8" s="84">
        <v>13.315399061032865</v>
      </c>
      <c r="AI8" s="85" t="s">
        <v>133</v>
      </c>
      <c r="AJ8" s="85" t="s">
        <v>133</v>
      </c>
      <c r="AK8" s="85" t="s">
        <v>133</v>
      </c>
      <c r="AL8" s="85" t="s">
        <v>133</v>
      </c>
      <c r="AM8" s="85" t="s">
        <v>133</v>
      </c>
      <c r="AN8" s="85">
        <v>0.25734741784037563</v>
      </c>
      <c r="AO8" s="85" t="s">
        <v>133</v>
      </c>
      <c r="AP8" s="85" t="s">
        <v>133</v>
      </c>
      <c r="AQ8" s="85">
        <v>0.22260563380281689</v>
      </c>
      <c r="AR8" s="85" t="s">
        <v>133</v>
      </c>
      <c r="AS8" s="264">
        <v>0.1217605633802817</v>
      </c>
      <c r="AT8" s="85" t="s">
        <v>133</v>
      </c>
      <c r="AU8" s="85" t="s">
        <v>36</v>
      </c>
      <c r="AV8" s="85" t="s">
        <v>133</v>
      </c>
      <c r="AW8" s="85" t="s">
        <v>133</v>
      </c>
      <c r="AX8" s="85" t="s">
        <v>133</v>
      </c>
      <c r="AY8" s="85" t="s">
        <v>133</v>
      </c>
      <c r="AZ8" s="85" t="s">
        <v>133</v>
      </c>
      <c r="BA8" s="262">
        <v>6.8873239436619715E-2</v>
      </c>
      <c r="BB8" s="85" t="s">
        <v>133</v>
      </c>
      <c r="BC8" s="205" t="s">
        <v>395</v>
      </c>
      <c r="BD8" s="205" t="s">
        <v>395</v>
      </c>
      <c r="BE8" s="205" t="s">
        <v>395</v>
      </c>
      <c r="BF8" s="205" t="s">
        <v>395</v>
      </c>
      <c r="BG8" s="205" t="s">
        <v>395</v>
      </c>
      <c r="BH8" s="205" t="s">
        <v>395</v>
      </c>
      <c r="BI8" s="205" t="s">
        <v>395</v>
      </c>
      <c r="BJ8" s="205" t="s">
        <v>395</v>
      </c>
      <c r="BK8" s="205" t="s">
        <v>395</v>
      </c>
      <c r="BL8" s="205" t="s">
        <v>395</v>
      </c>
      <c r="BM8" s="205" t="s">
        <v>395</v>
      </c>
      <c r="BN8" s="182">
        <v>55</v>
      </c>
      <c r="BO8" s="205" t="s">
        <v>395</v>
      </c>
      <c r="BP8" s="205" t="s">
        <v>395</v>
      </c>
      <c r="BQ8" s="205" t="s">
        <v>395</v>
      </c>
      <c r="BR8" s="205" t="s">
        <v>395</v>
      </c>
      <c r="BS8" s="205" t="s">
        <v>395</v>
      </c>
      <c r="BT8" s="205" t="s">
        <v>395</v>
      </c>
      <c r="BU8" s="205" t="s">
        <v>395</v>
      </c>
      <c r="BV8" s="205" t="s">
        <v>395</v>
      </c>
      <c r="BW8" s="205" t="s">
        <v>395</v>
      </c>
      <c r="BX8" s="205" t="s">
        <v>395</v>
      </c>
      <c r="BY8" s="205" t="s">
        <v>395</v>
      </c>
      <c r="BZ8" s="205" t="s">
        <v>395</v>
      </c>
      <c r="CA8" s="205" t="s">
        <v>395</v>
      </c>
      <c r="CB8" s="205" t="s">
        <v>395</v>
      </c>
      <c r="CC8" s="205" t="s">
        <v>395</v>
      </c>
      <c r="CD8" s="205" t="s">
        <v>395</v>
      </c>
      <c r="CE8" s="205" t="s">
        <v>395</v>
      </c>
      <c r="CF8" s="205" t="s">
        <v>395</v>
      </c>
      <c r="CG8" s="205" t="s">
        <v>395</v>
      </c>
      <c r="CH8" s="205" t="s">
        <v>395</v>
      </c>
      <c r="CI8" s="263" t="s">
        <v>395</v>
      </c>
      <c r="CJ8" s="263" t="s">
        <v>395</v>
      </c>
      <c r="CK8" s="263" t="s">
        <v>395</v>
      </c>
      <c r="CL8" s="263" t="s">
        <v>395</v>
      </c>
      <c r="CM8" s="263" t="s">
        <v>395</v>
      </c>
      <c r="CN8" s="263" t="s">
        <v>395</v>
      </c>
      <c r="CO8" s="263" t="s">
        <v>395</v>
      </c>
      <c r="CP8" s="263" t="s">
        <v>395</v>
      </c>
      <c r="CQ8" s="263" t="s">
        <v>395</v>
      </c>
      <c r="CR8" s="263" t="s">
        <v>395</v>
      </c>
      <c r="CS8" s="263" t="s">
        <v>395</v>
      </c>
      <c r="CT8" s="263" t="s">
        <v>395</v>
      </c>
      <c r="CU8" s="263" t="s">
        <v>395</v>
      </c>
      <c r="CV8" s="263" t="s">
        <v>395</v>
      </c>
      <c r="CW8" s="263" t="s">
        <v>395</v>
      </c>
      <c r="CX8" s="263" t="s">
        <v>395</v>
      </c>
      <c r="CY8" s="263" t="s">
        <v>395</v>
      </c>
    </row>
    <row r="9" spans="1:103" s="204" customFormat="1" x14ac:dyDescent="0.3">
      <c r="A9" s="235" t="s">
        <v>28</v>
      </c>
      <c r="B9" s="98" t="s">
        <v>28</v>
      </c>
      <c r="C9" s="154" t="s">
        <v>20</v>
      </c>
      <c r="D9" s="154"/>
      <c r="E9" s="154"/>
      <c r="F9" s="154"/>
      <c r="G9" s="219">
        <v>45537</v>
      </c>
      <c r="H9" s="204">
        <v>2024</v>
      </c>
      <c r="I9" s="75" t="s">
        <v>33</v>
      </c>
      <c r="J9" s="75">
        <v>10</v>
      </c>
      <c r="K9" s="212">
        <v>0.80024311183144903</v>
      </c>
      <c r="L9" s="24" t="s">
        <v>394</v>
      </c>
      <c r="M9" s="182">
        <v>0.19</v>
      </c>
      <c r="N9" s="182">
        <v>0.31</v>
      </c>
      <c r="O9" s="182">
        <v>1.2</v>
      </c>
      <c r="P9" s="182">
        <v>1.1000000000000001</v>
      </c>
      <c r="Q9" s="182">
        <v>2.5</v>
      </c>
      <c r="R9" s="182">
        <v>2.4</v>
      </c>
      <c r="S9" s="182">
        <v>0.56999999999999995</v>
      </c>
      <c r="T9" s="183">
        <v>8.27</v>
      </c>
      <c r="U9" s="84">
        <f t="shared" si="2"/>
        <v>44.798886075949</v>
      </c>
      <c r="V9" s="205" t="s">
        <v>78</v>
      </c>
      <c r="W9" s="205">
        <v>6.0999999999999999E-2</v>
      </c>
      <c r="X9" s="266">
        <v>0.05</v>
      </c>
      <c r="Y9" s="205">
        <v>5.1999999999999998E-2</v>
      </c>
      <c r="Z9" s="205" t="s">
        <v>78</v>
      </c>
      <c r="AA9" s="261">
        <v>9.2999999999999992E-3</v>
      </c>
      <c r="AB9" s="205" t="s">
        <v>78</v>
      </c>
      <c r="AC9" s="74" t="s">
        <v>378</v>
      </c>
      <c r="AD9" s="228">
        <v>0.17</v>
      </c>
      <c r="AE9" s="205">
        <f t="shared" si="0"/>
        <v>0.17229999999999998</v>
      </c>
      <c r="AF9" s="71">
        <v>1.2E-2</v>
      </c>
      <c r="AG9" s="205">
        <f t="shared" si="1"/>
        <v>7.4977215189872812E-2</v>
      </c>
      <c r="AH9" s="86">
        <v>7.4840203562340957</v>
      </c>
      <c r="AI9" s="85" t="s">
        <v>133</v>
      </c>
      <c r="AJ9" s="85" t="s">
        <v>133</v>
      </c>
      <c r="AK9" s="85" t="s">
        <v>133</v>
      </c>
      <c r="AL9" s="85" t="s">
        <v>133</v>
      </c>
      <c r="AM9" s="85" t="s">
        <v>133</v>
      </c>
      <c r="AN9" s="85">
        <v>0.28521628498727736</v>
      </c>
      <c r="AO9" s="85" t="s">
        <v>133</v>
      </c>
      <c r="AP9" s="85" t="s">
        <v>133</v>
      </c>
      <c r="AQ9" s="85">
        <v>0.21992366412213737</v>
      </c>
      <c r="AR9" s="85" t="s">
        <v>133</v>
      </c>
      <c r="AS9" s="85">
        <v>0.23908396946564883</v>
      </c>
      <c r="AT9" s="264">
        <v>0.10465648854961832</v>
      </c>
      <c r="AU9" s="85" t="s">
        <v>36</v>
      </c>
      <c r="AV9" s="85" t="s">
        <v>133</v>
      </c>
      <c r="AW9" s="85" t="s">
        <v>133</v>
      </c>
      <c r="AX9" s="85" t="s">
        <v>133</v>
      </c>
      <c r="AY9" s="85" t="s">
        <v>133</v>
      </c>
      <c r="AZ9" s="85" t="s">
        <v>133</v>
      </c>
      <c r="BA9" s="262">
        <v>7.2595419847328244E-2</v>
      </c>
      <c r="BB9" s="85" t="s">
        <v>133</v>
      </c>
      <c r="BC9" s="205" t="s">
        <v>395</v>
      </c>
      <c r="BD9" s="205" t="s">
        <v>395</v>
      </c>
      <c r="BE9" s="205" t="s">
        <v>395</v>
      </c>
      <c r="BF9" s="205" t="s">
        <v>395</v>
      </c>
      <c r="BG9" s="205" t="s">
        <v>395</v>
      </c>
      <c r="BH9" s="205" t="s">
        <v>395</v>
      </c>
      <c r="BI9" s="205" t="s">
        <v>395</v>
      </c>
      <c r="BJ9" s="205" t="s">
        <v>395</v>
      </c>
      <c r="BK9" s="205" t="s">
        <v>395</v>
      </c>
      <c r="BL9" s="205" t="s">
        <v>395</v>
      </c>
      <c r="BM9" s="205" t="s">
        <v>395</v>
      </c>
      <c r="BN9" s="182">
        <v>85</v>
      </c>
      <c r="BO9" s="205" t="s">
        <v>395</v>
      </c>
      <c r="BP9" s="205" t="s">
        <v>395</v>
      </c>
      <c r="BQ9" s="205" t="s">
        <v>395</v>
      </c>
      <c r="BR9" s="205" t="s">
        <v>395</v>
      </c>
      <c r="BS9" s="205" t="s">
        <v>395</v>
      </c>
      <c r="BT9" s="205" t="s">
        <v>395</v>
      </c>
      <c r="BU9" s="205" t="s">
        <v>395</v>
      </c>
      <c r="BV9" s="205" t="s">
        <v>395</v>
      </c>
      <c r="BW9" s="205" t="s">
        <v>395</v>
      </c>
      <c r="BX9" s="205" t="s">
        <v>395</v>
      </c>
      <c r="BY9" s="205" t="s">
        <v>395</v>
      </c>
      <c r="BZ9" s="205" t="s">
        <v>395</v>
      </c>
      <c r="CA9" s="205" t="s">
        <v>395</v>
      </c>
      <c r="CB9" s="205" t="s">
        <v>395</v>
      </c>
      <c r="CC9" s="205" t="s">
        <v>395</v>
      </c>
      <c r="CD9" s="205" t="s">
        <v>395</v>
      </c>
      <c r="CE9" s="205" t="s">
        <v>395</v>
      </c>
      <c r="CF9" s="205" t="s">
        <v>395</v>
      </c>
      <c r="CG9" s="205" t="s">
        <v>395</v>
      </c>
      <c r="CH9" s="205" t="s">
        <v>395</v>
      </c>
      <c r="CI9" s="263" t="s">
        <v>395</v>
      </c>
      <c r="CJ9" s="263" t="s">
        <v>395</v>
      </c>
      <c r="CK9" s="263" t="s">
        <v>395</v>
      </c>
      <c r="CL9" s="263" t="s">
        <v>395</v>
      </c>
      <c r="CM9" s="263" t="s">
        <v>395</v>
      </c>
      <c r="CN9" s="263" t="s">
        <v>395</v>
      </c>
      <c r="CO9" s="263" t="s">
        <v>395</v>
      </c>
      <c r="CP9" s="263" t="s">
        <v>395</v>
      </c>
      <c r="CQ9" s="263" t="s">
        <v>395</v>
      </c>
      <c r="CR9" s="263" t="s">
        <v>395</v>
      </c>
      <c r="CS9" s="263" t="s">
        <v>395</v>
      </c>
      <c r="CT9" s="263" t="s">
        <v>395</v>
      </c>
      <c r="CU9" s="263" t="s">
        <v>395</v>
      </c>
      <c r="CV9" s="263" t="s">
        <v>395</v>
      </c>
      <c r="CW9" s="263" t="s">
        <v>395</v>
      </c>
      <c r="CX9" s="263" t="s">
        <v>395</v>
      </c>
      <c r="CY9" s="263" t="s">
        <v>395</v>
      </c>
    </row>
    <row r="10" spans="1:103" s="204" customFormat="1" x14ac:dyDescent="0.3">
      <c r="A10" s="235" t="s">
        <v>26</v>
      </c>
      <c r="B10" s="98" t="s">
        <v>26</v>
      </c>
      <c r="C10" s="154" t="s">
        <v>20</v>
      </c>
      <c r="D10" s="154"/>
      <c r="E10" s="154"/>
      <c r="F10" s="154"/>
      <c r="G10" s="219">
        <v>45501</v>
      </c>
      <c r="H10" s="204">
        <v>2024</v>
      </c>
      <c r="I10" s="75" t="s">
        <v>33</v>
      </c>
      <c r="J10" s="75">
        <v>10</v>
      </c>
      <c r="K10" s="212">
        <v>0.73126142595977195</v>
      </c>
      <c r="L10" s="24" t="s">
        <v>394</v>
      </c>
      <c r="M10" s="267">
        <v>0.02</v>
      </c>
      <c r="N10" s="260">
        <v>2.5000000000000001E-2</v>
      </c>
      <c r="O10" s="182">
        <v>0.21</v>
      </c>
      <c r="P10" s="182">
        <v>0.24</v>
      </c>
      <c r="Q10" s="182">
        <v>0.76</v>
      </c>
      <c r="R10" s="182">
        <v>0.73</v>
      </c>
      <c r="S10" s="182">
        <v>0.28999999999999998</v>
      </c>
      <c r="T10" s="183">
        <v>2.2749999999999999</v>
      </c>
      <c r="U10" s="84">
        <f t="shared" si="2"/>
        <v>13.914312500000166</v>
      </c>
      <c r="V10" s="205" t="s">
        <v>76</v>
      </c>
      <c r="W10" s="261">
        <v>6.8999999999999999E-3</v>
      </c>
      <c r="X10" s="205" t="s">
        <v>66</v>
      </c>
      <c r="Y10" s="205" t="s">
        <v>66</v>
      </c>
      <c r="Z10" s="205" t="s">
        <v>76</v>
      </c>
      <c r="AA10" s="261">
        <v>1.0999999999999999E-2</v>
      </c>
      <c r="AB10" s="205" t="s">
        <v>76</v>
      </c>
      <c r="AC10" s="74" t="s">
        <v>378</v>
      </c>
      <c r="AD10" s="81">
        <v>1.7999999999999999E-2</v>
      </c>
      <c r="AE10" s="205">
        <f t="shared" si="0"/>
        <v>1.7899999999999999E-2</v>
      </c>
      <c r="AF10" s="71">
        <v>1.2E-2</v>
      </c>
      <c r="AG10" s="205">
        <f t="shared" si="1"/>
        <v>8.2050000000000969E-2</v>
      </c>
      <c r="AH10" s="86">
        <v>2.2422624302692213</v>
      </c>
      <c r="AI10" s="85" t="s">
        <v>133</v>
      </c>
      <c r="AJ10" s="85" t="s">
        <v>133</v>
      </c>
      <c r="AK10" s="85" t="s">
        <v>133</v>
      </c>
      <c r="AL10" s="85" t="s">
        <v>133</v>
      </c>
      <c r="AM10" s="85" t="s">
        <v>133</v>
      </c>
      <c r="AN10" s="85">
        <v>0.24101309725927719</v>
      </c>
      <c r="AO10" s="264">
        <v>0.10148387096774195</v>
      </c>
      <c r="AP10" s="85" t="s">
        <v>133</v>
      </c>
      <c r="AQ10" s="85">
        <v>0.17256730536017462</v>
      </c>
      <c r="AR10" s="85" t="s">
        <v>133</v>
      </c>
      <c r="AS10" s="85" t="s">
        <v>133</v>
      </c>
      <c r="AT10" s="85" t="s">
        <v>133</v>
      </c>
      <c r="AU10" s="85" t="s">
        <v>36</v>
      </c>
      <c r="AV10" s="85" t="s">
        <v>133</v>
      </c>
      <c r="AW10" s="85" t="s">
        <v>133</v>
      </c>
      <c r="AX10" s="85" t="s">
        <v>133</v>
      </c>
      <c r="AY10" s="85" t="s">
        <v>133</v>
      </c>
      <c r="AZ10" s="85" t="s">
        <v>133</v>
      </c>
      <c r="BA10" s="262">
        <v>6.0096774193548384E-2</v>
      </c>
      <c r="BB10" s="85" t="s">
        <v>133</v>
      </c>
      <c r="BC10" s="205" t="s">
        <v>395</v>
      </c>
      <c r="BD10" s="205" t="s">
        <v>395</v>
      </c>
      <c r="BE10" s="205" t="s">
        <v>395</v>
      </c>
      <c r="BF10" s="205" t="s">
        <v>395</v>
      </c>
      <c r="BG10" s="205" t="s">
        <v>395</v>
      </c>
      <c r="BH10" s="205" t="s">
        <v>395</v>
      </c>
      <c r="BI10" s="205" t="s">
        <v>395</v>
      </c>
      <c r="BJ10" s="205" t="s">
        <v>395</v>
      </c>
      <c r="BK10" s="205" t="s">
        <v>395</v>
      </c>
      <c r="BL10" s="205" t="s">
        <v>395</v>
      </c>
      <c r="BM10" s="205" t="s">
        <v>395</v>
      </c>
      <c r="BN10" s="182">
        <v>78</v>
      </c>
      <c r="BO10" s="205" t="s">
        <v>395</v>
      </c>
      <c r="BP10" s="205" t="s">
        <v>395</v>
      </c>
      <c r="BQ10" s="205" t="s">
        <v>395</v>
      </c>
      <c r="BR10" s="205" t="s">
        <v>395</v>
      </c>
      <c r="BS10" s="205" t="s">
        <v>395</v>
      </c>
      <c r="BT10" s="205" t="s">
        <v>395</v>
      </c>
      <c r="BU10" s="205" t="s">
        <v>395</v>
      </c>
      <c r="BV10" s="205" t="s">
        <v>395</v>
      </c>
      <c r="BW10" s="205" t="s">
        <v>395</v>
      </c>
      <c r="BX10" s="205" t="s">
        <v>395</v>
      </c>
      <c r="BY10" s="205" t="s">
        <v>395</v>
      </c>
      <c r="BZ10" s="205" t="s">
        <v>395</v>
      </c>
      <c r="CA10" s="205" t="s">
        <v>395</v>
      </c>
      <c r="CB10" s="205" t="s">
        <v>395</v>
      </c>
      <c r="CC10" s="205" t="s">
        <v>395</v>
      </c>
      <c r="CD10" s="205" t="s">
        <v>395</v>
      </c>
      <c r="CE10" s="205" t="s">
        <v>395</v>
      </c>
      <c r="CF10" s="205" t="s">
        <v>395</v>
      </c>
      <c r="CG10" s="205" t="s">
        <v>395</v>
      </c>
      <c r="CH10" s="205" t="s">
        <v>395</v>
      </c>
      <c r="CI10" s="263" t="s">
        <v>395</v>
      </c>
      <c r="CJ10" s="263" t="s">
        <v>395</v>
      </c>
      <c r="CK10" s="263" t="s">
        <v>395</v>
      </c>
      <c r="CL10" s="263" t="s">
        <v>395</v>
      </c>
      <c r="CM10" s="263" t="s">
        <v>395</v>
      </c>
      <c r="CN10" s="263" t="s">
        <v>395</v>
      </c>
      <c r="CO10" s="263" t="s">
        <v>395</v>
      </c>
      <c r="CP10" s="263" t="s">
        <v>395</v>
      </c>
      <c r="CQ10" s="263" t="s">
        <v>395</v>
      </c>
      <c r="CR10" s="263" t="s">
        <v>395</v>
      </c>
      <c r="CS10" s="263" t="s">
        <v>395</v>
      </c>
      <c r="CT10" s="263" t="s">
        <v>395</v>
      </c>
      <c r="CU10" s="263" t="s">
        <v>395</v>
      </c>
      <c r="CV10" s="263" t="s">
        <v>395</v>
      </c>
      <c r="CW10" s="263" t="s">
        <v>395</v>
      </c>
      <c r="CX10" s="263" t="s">
        <v>395</v>
      </c>
      <c r="CY10" s="263" t="s">
        <v>395</v>
      </c>
    </row>
    <row r="11" spans="1:103" s="204" customFormat="1" x14ac:dyDescent="0.3">
      <c r="A11" s="235" t="s">
        <v>369</v>
      </c>
      <c r="B11" s="98" t="s">
        <v>369</v>
      </c>
      <c r="C11" s="154" t="s">
        <v>20</v>
      </c>
      <c r="D11" s="154"/>
      <c r="E11" s="154"/>
      <c r="F11" s="154"/>
      <c r="G11" s="219">
        <v>45537</v>
      </c>
      <c r="H11" s="204">
        <v>2024</v>
      </c>
      <c r="I11" s="75" t="s">
        <v>33</v>
      </c>
      <c r="J11" s="75">
        <v>10</v>
      </c>
      <c r="K11" s="244">
        <v>0.85863874345550495</v>
      </c>
      <c r="L11" s="24" t="s">
        <v>394</v>
      </c>
      <c r="M11" s="183">
        <v>2</v>
      </c>
      <c r="N11" s="182">
        <v>6.6</v>
      </c>
      <c r="O11" s="182">
        <v>4.3</v>
      </c>
      <c r="P11" s="182">
        <v>3.3</v>
      </c>
      <c r="Q11" s="182">
        <v>2.6</v>
      </c>
      <c r="R11" s="182">
        <v>2.2999999999999998</v>
      </c>
      <c r="S11" s="182">
        <v>0.76</v>
      </c>
      <c r="T11" s="184">
        <v>21.860000000000003</v>
      </c>
      <c r="U11" s="84">
        <f t="shared" si="2"/>
        <v>108.07804878048684</v>
      </c>
      <c r="V11" s="205" t="s">
        <v>40</v>
      </c>
      <c r="W11" s="205">
        <v>2.4E-2</v>
      </c>
      <c r="X11" s="205" t="s">
        <v>56</v>
      </c>
      <c r="Y11" s="261">
        <v>1.6E-2</v>
      </c>
      <c r="Z11" s="205" t="s">
        <v>40</v>
      </c>
      <c r="AA11" s="261">
        <v>1.0999999999999999E-2</v>
      </c>
      <c r="AB11" s="205" t="s">
        <v>40</v>
      </c>
      <c r="AC11" s="74" t="s">
        <v>379</v>
      </c>
      <c r="AD11" s="81">
        <v>5.1000000000000004E-2</v>
      </c>
      <c r="AE11" s="205">
        <f t="shared" si="0"/>
        <v>5.1000000000000004E-2</v>
      </c>
      <c r="AF11" s="187">
        <v>8.2000000000000007E-3</v>
      </c>
      <c r="AG11" s="205">
        <f t="shared" si="1"/>
        <v>4.7749999999999584E-2</v>
      </c>
      <c r="AH11" s="86">
        <v>8.9148832271762206</v>
      </c>
      <c r="AI11" s="85" t="s">
        <v>133</v>
      </c>
      <c r="AJ11" s="85" t="s">
        <v>133</v>
      </c>
      <c r="AK11" s="85" t="s">
        <v>133</v>
      </c>
      <c r="AL11" s="85" t="s">
        <v>133</v>
      </c>
      <c r="AM11" s="85" t="s">
        <v>133</v>
      </c>
      <c r="AN11" s="85">
        <v>0.16766454352441612</v>
      </c>
      <c r="AO11" s="262">
        <v>7.3821656050955406E-2</v>
      </c>
      <c r="AP11" s="85" t="s">
        <v>133</v>
      </c>
      <c r="AQ11" s="85">
        <v>0.15184713375796177</v>
      </c>
      <c r="AR11" s="85" t="s">
        <v>133</v>
      </c>
      <c r="AS11" s="262">
        <v>6.8152866242038215E-2</v>
      </c>
      <c r="AT11" s="85" t="s">
        <v>133</v>
      </c>
      <c r="AU11" s="85" t="s">
        <v>36</v>
      </c>
      <c r="AV11" s="85" t="s">
        <v>133</v>
      </c>
      <c r="AW11" s="85" t="s">
        <v>133</v>
      </c>
      <c r="AX11" s="85" t="s">
        <v>133</v>
      </c>
      <c r="AY11" s="85" t="s">
        <v>133</v>
      </c>
      <c r="AZ11" s="262">
        <v>6.0509554140127389E-2</v>
      </c>
      <c r="BA11" s="85" t="s">
        <v>133</v>
      </c>
      <c r="BB11" s="85" t="s">
        <v>133</v>
      </c>
      <c r="BC11" s="205" t="s">
        <v>395</v>
      </c>
      <c r="BD11" s="205" t="s">
        <v>395</v>
      </c>
      <c r="BE11" s="205" t="s">
        <v>395</v>
      </c>
      <c r="BF11" s="205" t="s">
        <v>395</v>
      </c>
      <c r="BG11" s="205" t="s">
        <v>395</v>
      </c>
      <c r="BH11" s="205" t="s">
        <v>395</v>
      </c>
      <c r="BI11" s="205" t="s">
        <v>395</v>
      </c>
      <c r="BJ11" s="205" t="s">
        <v>395</v>
      </c>
      <c r="BK11" s="205" t="s">
        <v>395</v>
      </c>
      <c r="BL11" s="205" t="s">
        <v>395</v>
      </c>
      <c r="BM11" s="205" t="s">
        <v>395</v>
      </c>
      <c r="BN11" s="182">
        <v>82</v>
      </c>
      <c r="BO11" s="205" t="s">
        <v>395</v>
      </c>
      <c r="BP11" s="205" t="s">
        <v>395</v>
      </c>
      <c r="BQ11" s="205" t="s">
        <v>395</v>
      </c>
      <c r="BR11" s="205" t="s">
        <v>395</v>
      </c>
      <c r="BS11" s="205" t="s">
        <v>395</v>
      </c>
      <c r="BT11" s="205" t="s">
        <v>395</v>
      </c>
      <c r="BU11" s="205" t="s">
        <v>395</v>
      </c>
      <c r="BV11" s="205" t="s">
        <v>395</v>
      </c>
      <c r="BW11" s="205" t="s">
        <v>395</v>
      </c>
      <c r="BX11" s="205" t="s">
        <v>395</v>
      </c>
      <c r="BY11" s="205" t="s">
        <v>395</v>
      </c>
      <c r="BZ11" s="205" t="s">
        <v>395</v>
      </c>
      <c r="CA11" s="205" t="s">
        <v>395</v>
      </c>
      <c r="CB11" s="205" t="s">
        <v>395</v>
      </c>
      <c r="CC11" s="205" t="s">
        <v>395</v>
      </c>
      <c r="CD11" s="205" t="s">
        <v>395</v>
      </c>
      <c r="CE11" s="205" t="s">
        <v>395</v>
      </c>
      <c r="CF11" s="205" t="s">
        <v>395</v>
      </c>
      <c r="CG11" s="205" t="s">
        <v>395</v>
      </c>
      <c r="CH11" s="205" t="s">
        <v>395</v>
      </c>
      <c r="CI11" s="263" t="s">
        <v>395</v>
      </c>
      <c r="CJ11" s="263" t="s">
        <v>395</v>
      </c>
      <c r="CK11" s="263" t="s">
        <v>395</v>
      </c>
      <c r="CL11" s="263" t="s">
        <v>395</v>
      </c>
      <c r="CM11" s="263" t="s">
        <v>395</v>
      </c>
      <c r="CN11" s="263" t="s">
        <v>395</v>
      </c>
      <c r="CO11" s="263" t="s">
        <v>395</v>
      </c>
      <c r="CP11" s="263" t="s">
        <v>395</v>
      </c>
      <c r="CQ11" s="263" t="s">
        <v>395</v>
      </c>
      <c r="CR11" s="263" t="s">
        <v>395</v>
      </c>
      <c r="CS11" s="263" t="s">
        <v>395</v>
      </c>
      <c r="CT11" s="263" t="s">
        <v>395</v>
      </c>
      <c r="CU11" s="263" t="s">
        <v>395</v>
      </c>
      <c r="CV11" s="263" t="s">
        <v>395</v>
      </c>
      <c r="CW11" s="263" t="s">
        <v>395</v>
      </c>
      <c r="CX11" s="263" t="s">
        <v>395</v>
      </c>
      <c r="CY11" s="263" t="s">
        <v>395</v>
      </c>
    </row>
    <row r="12" spans="1:103" s="204" customFormat="1" x14ac:dyDescent="0.3">
      <c r="A12" s="235" t="s">
        <v>9</v>
      </c>
      <c r="B12" s="98" t="s">
        <v>9</v>
      </c>
      <c r="C12" s="154" t="s">
        <v>20</v>
      </c>
      <c r="D12" s="154"/>
      <c r="E12" s="154"/>
      <c r="F12" s="154"/>
      <c r="G12" s="219">
        <v>45499</v>
      </c>
      <c r="H12" s="204">
        <v>2024</v>
      </c>
      <c r="I12" s="75" t="s">
        <v>33</v>
      </c>
      <c r="J12" s="75">
        <v>10</v>
      </c>
      <c r="K12" s="212">
        <v>0.78224101479917096</v>
      </c>
      <c r="L12" s="24" t="s">
        <v>394</v>
      </c>
      <c r="M12" s="260">
        <v>1.6E-2</v>
      </c>
      <c r="N12" s="182">
        <v>4.9000000000000002E-2</v>
      </c>
      <c r="O12" s="182">
        <v>0.78</v>
      </c>
      <c r="P12" s="182">
        <v>0.61</v>
      </c>
      <c r="Q12" s="182">
        <v>3.6</v>
      </c>
      <c r="R12" s="182">
        <v>2.6</v>
      </c>
      <c r="S12" s="182">
        <v>1.3</v>
      </c>
      <c r="T12" s="183">
        <v>8.9550000000000001</v>
      </c>
      <c r="U12" s="84">
        <f t="shared" si="2"/>
        <v>53.340337837836707</v>
      </c>
      <c r="V12" s="205" t="s">
        <v>78</v>
      </c>
      <c r="W12" s="205">
        <v>5.3999999999999999E-2</v>
      </c>
      <c r="X12" s="205">
        <v>6.3E-2</v>
      </c>
      <c r="Y12" s="261">
        <v>1.0999999999999999E-2</v>
      </c>
      <c r="Z12" s="205" t="s">
        <v>78</v>
      </c>
      <c r="AA12" s="262">
        <v>0.01</v>
      </c>
      <c r="AB12" s="261">
        <v>1.2E-2</v>
      </c>
      <c r="AC12" s="74" t="s">
        <v>71</v>
      </c>
      <c r="AD12" s="228">
        <v>0.15000000000000002</v>
      </c>
      <c r="AE12" s="205">
        <f t="shared" si="0"/>
        <v>0.15000000000000002</v>
      </c>
      <c r="AF12" s="188">
        <v>8.6999999999999994E-3</v>
      </c>
      <c r="AG12" s="205">
        <f t="shared" si="1"/>
        <v>5.5609459459458277E-2</v>
      </c>
      <c r="AH12" s="86">
        <v>1.4370599250936329</v>
      </c>
      <c r="AI12" s="85" t="s">
        <v>133</v>
      </c>
      <c r="AJ12" s="85" t="s">
        <v>133</v>
      </c>
      <c r="AK12" s="85" t="s">
        <v>133</v>
      </c>
      <c r="AL12" s="85" t="s">
        <v>133</v>
      </c>
      <c r="AM12" s="85" t="s">
        <v>133</v>
      </c>
      <c r="AN12" s="85">
        <v>0.30838951310861418</v>
      </c>
      <c r="AO12" s="262">
        <v>7.258426966292135E-2</v>
      </c>
      <c r="AP12" s="85" t="s">
        <v>133</v>
      </c>
      <c r="AQ12" s="85">
        <v>0.21101123595505616</v>
      </c>
      <c r="AR12" s="85" t="s">
        <v>133</v>
      </c>
      <c r="AS12" s="264">
        <v>0.11814606741573033</v>
      </c>
      <c r="AT12" s="85" t="s">
        <v>133</v>
      </c>
      <c r="AU12" s="85" t="s">
        <v>36</v>
      </c>
      <c r="AV12" s="85" t="s">
        <v>133</v>
      </c>
      <c r="AW12" s="85" t="s">
        <v>133</v>
      </c>
      <c r="AX12" s="85" t="s">
        <v>133</v>
      </c>
      <c r="AY12" s="85" t="s">
        <v>133</v>
      </c>
      <c r="AZ12" s="85" t="s">
        <v>133</v>
      </c>
      <c r="BA12" s="85" t="s">
        <v>133</v>
      </c>
      <c r="BB12" s="85" t="s">
        <v>133</v>
      </c>
      <c r="BC12" s="205" t="s">
        <v>395</v>
      </c>
      <c r="BD12" s="205" t="s">
        <v>395</v>
      </c>
      <c r="BE12" s="205" t="s">
        <v>395</v>
      </c>
      <c r="BF12" s="205" t="s">
        <v>395</v>
      </c>
      <c r="BG12" s="205" t="s">
        <v>395</v>
      </c>
      <c r="BH12" s="205" t="s">
        <v>395</v>
      </c>
      <c r="BI12" s="205" t="s">
        <v>395</v>
      </c>
      <c r="BJ12" s="205" t="s">
        <v>395</v>
      </c>
      <c r="BK12" s="205" t="s">
        <v>395</v>
      </c>
      <c r="BL12" s="205" t="s">
        <v>395</v>
      </c>
      <c r="BM12" s="205" t="s">
        <v>395</v>
      </c>
      <c r="BN12" s="182">
        <v>42</v>
      </c>
      <c r="BO12" s="205" t="s">
        <v>395</v>
      </c>
      <c r="BP12" s="205" t="s">
        <v>395</v>
      </c>
      <c r="BQ12" s="205" t="s">
        <v>395</v>
      </c>
      <c r="BR12" s="205" t="s">
        <v>395</v>
      </c>
      <c r="BS12" s="205" t="s">
        <v>395</v>
      </c>
      <c r="BT12" s="205" t="s">
        <v>395</v>
      </c>
      <c r="BU12" s="205" t="s">
        <v>395</v>
      </c>
      <c r="BV12" s="205" t="s">
        <v>395</v>
      </c>
      <c r="BW12" s="205" t="s">
        <v>395</v>
      </c>
      <c r="BX12" s="205" t="s">
        <v>395</v>
      </c>
      <c r="BY12" s="205" t="s">
        <v>395</v>
      </c>
      <c r="BZ12" s="205" t="s">
        <v>395</v>
      </c>
      <c r="CA12" s="205" t="s">
        <v>395</v>
      </c>
      <c r="CB12" s="205" t="s">
        <v>395</v>
      </c>
      <c r="CC12" s="205" t="s">
        <v>395</v>
      </c>
      <c r="CD12" s="205" t="s">
        <v>395</v>
      </c>
      <c r="CE12" s="205" t="s">
        <v>395</v>
      </c>
      <c r="CF12" s="205" t="s">
        <v>395</v>
      </c>
      <c r="CG12" s="205" t="s">
        <v>395</v>
      </c>
      <c r="CH12" s="205" t="s">
        <v>395</v>
      </c>
      <c r="CI12" s="263" t="s">
        <v>395</v>
      </c>
      <c r="CJ12" s="263" t="s">
        <v>395</v>
      </c>
      <c r="CK12" s="263" t="s">
        <v>395</v>
      </c>
      <c r="CL12" s="263" t="s">
        <v>395</v>
      </c>
      <c r="CM12" s="263" t="s">
        <v>395</v>
      </c>
      <c r="CN12" s="263" t="s">
        <v>395</v>
      </c>
      <c r="CO12" s="263" t="s">
        <v>395</v>
      </c>
      <c r="CP12" s="263" t="s">
        <v>395</v>
      </c>
      <c r="CQ12" s="263" t="s">
        <v>395</v>
      </c>
      <c r="CR12" s="263" t="s">
        <v>395</v>
      </c>
      <c r="CS12" s="263" t="s">
        <v>395</v>
      </c>
      <c r="CT12" s="263" t="s">
        <v>395</v>
      </c>
      <c r="CU12" s="263" t="s">
        <v>395</v>
      </c>
      <c r="CV12" s="263" t="s">
        <v>395</v>
      </c>
      <c r="CW12" s="263" t="s">
        <v>395</v>
      </c>
      <c r="CX12" s="263" t="s">
        <v>395</v>
      </c>
      <c r="CY12" s="263" t="s">
        <v>395</v>
      </c>
    </row>
    <row r="13" spans="1:103" s="204" customFormat="1" x14ac:dyDescent="0.3">
      <c r="A13" s="235" t="s">
        <v>112</v>
      </c>
      <c r="B13" s="98" t="s">
        <v>112</v>
      </c>
      <c r="C13" s="154" t="s">
        <v>20</v>
      </c>
      <c r="D13" s="154"/>
      <c r="E13" s="154"/>
      <c r="F13" s="154"/>
      <c r="G13" s="219">
        <v>45498</v>
      </c>
      <c r="H13" s="204">
        <v>2024</v>
      </c>
      <c r="I13" s="75" t="s">
        <v>33</v>
      </c>
      <c r="J13" s="75">
        <v>10</v>
      </c>
      <c r="K13" s="212">
        <v>0.99427538415185501</v>
      </c>
      <c r="L13" s="24" t="s">
        <v>394</v>
      </c>
      <c r="M13" s="182">
        <v>0.45</v>
      </c>
      <c r="N13" s="182">
        <v>1.1000000000000001</v>
      </c>
      <c r="O13" s="182">
        <v>4.2</v>
      </c>
      <c r="P13" s="182">
        <v>3.1</v>
      </c>
      <c r="Q13" s="182">
        <v>7.2</v>
      </c>
      <c r="R13" s="182">
        <v>6.9</v>
      </c>
      <c r="S13" s="182">
        <v>1.9</v>
      </c>
      <c r="T13" s="184">
        <v>24.85</v>
      </c>
      <c r="U13" s="84">
        <f t="shared" si="2"/>
        <v>109.37613636363614</v>
      </c>
      <c r="V13" s="205" t="s">
        <v>40</v>
      </c>
      <c r="W13" s="205">
        <v>8.8999999999999996E-2</v>
      </c>
      <c r="X13" s="205">
        <v>8.1000000000000003E-2</v>
      </c>
      <c r="Y13" s="205">
        <v>6.6000000000000003E-2</v>
      </c>
      <c r="Z13" s="205" t="s">
        <v>40</v>
      </c>
      <c r="AA13" s="261">
        <v>1.0999999999999999E-2</v>
      </c>
      <c r="AB13" s="261">
        <v>1.2999999999999999E-2</v>
      </c>
      <c r="AC13" s="74" t="s">
        <v>379</v>
      </c>
      <c r="AD13" s="228">
        <v>0.26</v>
      </c>
      <c r="AE13" s="205">
        <f t="shared" si="0"/>
        <v>0.26</v>
      </c>
      <c r="AF13" s="71">
        <v>2.8000000000000001E-2</v>
      </c>
      <c r="AG13" s="205">
        <f t="shared" si="1"/>
        <v>0.14080606060606032</v>
      </c>
      <c r="AH13" s="86">
        <v>7.2346717171717172</v>
      </c>
      <c r="AI13" s="85" t="s">
        <v>133</v>
      </c>
      <c r="AJ13" s="85" t="s">
        <v>133</v>
      </c>
      <c r="AK13" s="85" t="s">
        <v>133</v>
      </c>
      <c r="AL13" s="85" t="s">
        <v>133</v>
      </c>
      <c r="AM13" s="85" t="s">
        <v>133</v>
      </c>
      <c r="AN13" s="85">
        <v>0.28108585858585855</v>
      </c>
      <c r="AO13" s="262">
        <v>7.1363636363636351E-2</v>
      </c>
      <c r="AP13" s="85" t="s">
        <v>133</v>
      </c>
      <c r="AQ13" s="85">
        <v>0.38310606060606062</v>
      </c>
      <c r="AR13" s="85" t="s">
        <v>133</v>
      </c>
      <c r="AS13" s="85">
        <v>0.43189393939393939</v>
      </c>
      <c r="AT13" s="85" t="s">
        <v>133</v>
      </c>
      <c r="AU13" s="85" t="s">
        <v>36</v>
      </c>
      <c r="AV13" s="85" t="s">
        <v>133</v>
      </c>
      <c r="AW13" s="85" t="s">
        <v>133</v>
      </c>
      <c r="AX13" s="85" t="s">
        <v>133</v>
      </c>
      <c r="AY13" s="85" t="s">
        <v>133</v>
      </c>
      <c r="AZ13" s="85" t="s">
        <v>133</v>
      </c>
      <c r="BA13" s="85" t="s">
        <v>133</v>
      </c>
      <c r="BB13" s="85" t="s">
        <v>133</v>
      </c>
      <c r="BC13" s="205" t="s">
        <v>395</v>
      </c>
      <c r="BD13" s="205" t="s">
        <v>395</v>
      </c>
      <c r="BE13" s="205" t="s">
        <v>395</v>
      </c>
      <c r="BF13" s="205" t="s">
        <v>395</v>
      </c>
      <c r="BG13" s="205" t="s">
        <v>395</v>
      </c>
      <c r="BH13" s="205" t="s">
        <v>395</v>
      </c>
      <c r="BI13" s="205" t="s">
        <v>395</v>
      </c>
      <c r="BJ13" s="205" t="s">
        <v>395</v>
      </c>
      <c r="BK13" s="205" t="s">
        <v>395</v>
      </c>
      <c r="BL13" s="205" t="s">
        <v>395</v>
      </c>
      <c r="BM13" s="205" t="s">
        <v>395</v>
      </c>
      <c r="BN13" s="182">
        <v>30</v>
      </c>
      <c r="BO13" s="205" t="s">
        <v>395</v>
      </c>
      <c r="BP13" s="205" t="s">
        <v>395</v>
      </c>
      <c r="BQ13" s="205" t="s">
        <v>395</v>
      </c>
      <c r="BR13" s="205" t="s">
        <v>395</v>
      </c>
      <c r="BS13" s="205" t="s">
        <v>395</v>
      </c>
      <c r="BT13" s="205" t="s">
        <v>395</v>
      </c>
      <c r="BU13" s="205" t="s">
        <v>395</v>
      </c>
      <c r="BV13" s="205" t="s">
        <v>395</v>
      </c>
      <c r="BW13" s="205" t="s">
        <v>395</v>
      </c>
      <c r="BX13" s="205" t="s">
        <v>395</v>
      </c>
      <c r="BY13" s="205" t="s">
        <v>395</v>
      </c>
      <c r="BZ13" s="205" t="s">
        <v>395</v>
      </c>
      <c r="CA13" s="205" t="s">
        <v>395</v>
      </c>
      <c r="CB13" s="205" t="s">
        <v>395</v>
      </c>
      <c r="CC13" s="205" t="s">
        <v>395</v>
      </c>
      <c r="CD13" s="205" t="s">
        <v>395</v>
      </c>
      <c r="CE13" s="205" t="s">
        <v>395</v>
      </c>
      <c r="CF13" s="205" t="s">
        <v>395</v>
      </c>
      <c r="CG13" s="205" t="s">
        <v>395</v>
      </c>
      <c r="CH13" s="205" t="s">
        <v>395</v>
      </c>
      <c r="CI13" s="263" t="s">
        <v>395</v>
      </c>
      <c r="CJ13" s="263" t="s">
        <v>395</v>
      </c>
      <c r="CK13" s="263" t="s">
        <v>395</v>
      </c>
      <c r="CL13" s="263" t="s">
        <v>395</v>
      </c>
      <c r="CM13" s="263" t="s">
        <v>395</v>
      </c>
      <c r="CN13" s="263" t="s">
        <v>395</v>
      </c>
      <c r="CO13" s="263" t="s">
        <v>395</v>
      </c>
      <c r="CP13" s="263" t="s">
        <v>395</v>
      </c>
      <c r="CQ13" s="263" t="s">
        <v>395</v>
      </c>
      <c r="CR13" s="263" t="s">
        <v>395</v>
      </c>
      <c r="CS13" s="263" t="s">
        <v>395</v>
      </c>
      <c r="CT13" s="263" t="s">
        <v>395</v>
      </c>
      <c r="CU13" s="263" t="s">
        <v>395</v>
      </c>
      <c r="CV13" s="263" t="s">
        <v>395</v>
      </c>
      <c r="CW13" s="263" t="s">
        <v>395</v>
      </c>
      <c r="CX13" s="263" t="s">
        <v>395</v>
      </c>
      <c r="CY13" s="263" t="s">
        <v>395</v>
      </c>
    </row>
    <row r="14" spans="1:103" s="204" customFormat="1" x14ac:dyDescent="0.3">
      <c r="A14" s="235" t="s">
        <v>23</v>
      </c>
      <c r="B14" s="98" t="s">
        <v>23</v>
      </c>
      <c r="C14" s="154" t="s">
        <v>20</v>
      </c>
      <c r="D14" s="154"/>
      <c r="E14" s="154"/>
      <c r="F14" s="154"/>
      <c r="G14" s="219">
        <v>45497</v>
      </c>
      <c r="H14" s="204">
        <v>2024</v>
      </c>
      <c r="I14" s="75" t="s">
        <v>33</v>
      </c>
      <c r="J14" s="75">
        <v>10</v>
      </c>
      <c r="K14" s="212">
        <v>0.91351405024329602</v>
      </c>
      <c r="L14" s="24" t="s">
        <v>394</v>
      </c>
      <c r="M14" s="182">
        <v>0.27</v>
      </c>
      <c r="N14" s="182">
        <v>1.6</v>
      </c>
      <c r="O14" s="182">
        <v>5.4</v>
      </c>
      <c r="P14" s="182">
        <v>3.9</v>
      </c>
      <c r="Q14" s="182">
        <v>7.9</v>
      </c>
      <c r="R14" s="182">
        <v>7.9</v>
      </c>
      <c r="S14" s="182">
        <v>2.2999999999999998</v>
      </c>
      <c r="T14" s="184">
        <v>29.27</v>
      </c>
      <c r="U14" s="84">
        <f t="shared" si="2"/>
        <v>138.85938586956169</v>
      </c>
      <c r="V14" s="205" t="s">
        <v>76</v>
      </c>
      <c r="W14" s="205">
        <v>4.8000000000000001E-2</v>
      </c>
      <c r="X14" s="205">
        <v>4.4999999999999998E-2</v>
      </c>
      <c r="Y14" s="205">
        <v>2.5000000000000001E-2</v>
      </c>
      <c r="Z14" s="205" t="s">
        <v>76</v>
      </c>
      <c r="AA14" s="262">
        <v>0.01</v>
      </c>
      <c r="AB14" s="261">
        <v>8.8000000000000005E-3</v>
      </c>
      <c r="AC14" s="74" t="s">
        <v>380</v>
      </c>
      <c r="AD14" s="228">
        <v>0.14000000000000001</v>
      </c>
      <c r="AE14" s="205">
        <f t="shared" si="0"/>
        <v>0.1368</v>
      </c>
      <c r="AF14" s="71">
        <v>6.7000000000000004E-2</v>
      </c>
      <c r="AG14" s="205">
        <f t="shared" si="1"/>
        <v>0.36671576086955587</v>
      </c>
      <c r="AH14" s="84">
        <v>40.37095970443616</v>
      </c>
      <c r="AI14" s="85" t="s">
        <v>133</v>
      </c>
      <c r="AJ14" s="85" t="s">
        <v>133</v>
      </c>
      <c r="AK14" s="85" t="s">
        <v>133</v>
      </c>
      <c r="AL14" s="85" t="s">
        <v>133</v>
      </c>
      <c r="AM14" s="262">
        <v>8.5999824390771057E-2</v>
      </c>
      <c r="AN14" s="86">
        <v>1.4698262819473713</v>
      </c>
      <c r="AO14" s="85">
        <v>0.41472382071648561</v>
      </c>
      <c r="AP14" s="85" t="s">
        <v>133</v>
      </c>
      <c r="AQ14" s="86">
        <v>1.3473340492786512</v>
      </c>
      <c r="AR14" s="85" t="s">
        <v>133</v>
      </c>
      <c r="AS14" s="86">
        <v>1.4927824606905493</v>
      </c>
      <c r="AT14" s="85">
        <v>0.21787242664937589</v>
      </c>
      <c r="AU14" s="262">
        <v>7.4279731993299833E-2</v>
      </c>
      <c r="AV14" s="85" t="s">
        <v>133</v>
      </c>
      <c r="AW14" s="85" t="s">
        <v>133</v>
      </c>
      <c r="AX14" s="85" t="s">
        <v>133</v>
      </c>
      <c r="AY14" s="85" t="s">
        <v>133</v>
      </c>
      <c r="AZ14" s="262">
        <v>6.8346774193548385E-2</v>
      </c>
      <c r="BA14" s="262">
        <v>6.4233870967741941E-2</v>
      </c>
      <c r="BB14" s="262">
        <v>5.8492462311557789E-2</v>
      </c>
      <c r="BC14" s="205" t="s">
        <v>395</v>
      </c>
      <c r="BD14" s="205" t="s">
        <v>395</v>
      </c>
      <c r="BE14" s="205" t="s">
        <v>395</v>
      </c>
      <c r="BF14" s="205" t="s">
        <v>395</v>
      </c>
      <c r="BG14" s="205" t="s">
        <v>395</v>
      </c>
      <c r="BH14" s="205" t="s">
        <v>395</v>
      </c>
      <c r="BI14" s="205" t="s">
        <v>395</v>
      </c>
      <c r="BJ14" s="205" t="s">
        <v>395</v>
      </c>
      <c r="BK14" s="205" t="s">
        <v>395</v>
      </c>
      <c r="BL14" s="205" t="s">
        <v>395</v>
      </c>
      <c r="BM14" s="205" t="s">
        <v>395</v>
      </c>
      <c r="BN14" s="182">
        <v>130</v>
      </c>
      <c r="BO14" s="205" t="s">
        <v>395</v>
      </c>
      <c r="BP14" s="205" t="s">
        <v>395</v>
      </c>
      <c r="BQ14" s="205" t="s">
        <v>395</v>
      </c>
      <c r="BR14" s="205" t="s">
        <v>395</v>
      </c>
      <c r="BS14" s="205" t="s">
        <v>395</v>
      </c>
      <c r="BT14" s="205" t="s">
        <v>395</v>
      </c>
      <c r="BU14" s="205" t="s">
        <v>395</v>
      </c>
      <c r="BV14" s="205" t="s">
        <v>395</v>
      </c>
      <c r="BW14" s="205" t="s">
        <v>395</v>
      </c>
      <c r="BX14" s="205" t="s">
        <v>395</v>
      </c>
      <c r="BY14" s="205" t="s">
        <v>395</v>
      </c>
      <c r="BZ14" s="205" t="s">
        <v>395</v>
      </c>
      <c r="CA14" s="205" t="s">
        <v>395</v>
      </c>
      <c r="CB14" s="205" t="s">
        <v>395</v>
      </c>
      <c r="CC14" s="205" t="s">
        <v>395</v>
      </c>
      <c r="CD14" s="205" t="s">
        <v>395</v>
      </c>
      <c r="CE14" s="205" t="s">
        <v>395</v>
      </c>
      <c r="CF14" s="205" t="s">
        <v>395</v>
      </c>
      <c r="CG14" s="205" t="s">
        <v>395</v>
      </c>
      <c r="CH14" s="205" t="s">
        <v>395</v>
      </c>
      <c r="CI14" s="263" t="s">
        <v>395</v>
      </c>
      <c r="CJ14" s="263" t="s">
        <v>395</v>
      </c>
      <c r="CK14" s="263" t="s">
        <v>395</v>
      </c>
      <c r="CL14" s="263" t="s">
        <v>395</v>
      </c>
      <c r="CM14" s="263" t="s">
        <v>395</v>
      </c>
      <c r="CN14" s="263" t="s">
        <v>395</v>
      </c>
      <c r="CO14" s="263" t="s">
        <v>395</v>
      </c>
      <c r="CP14" s="263" t="s">
        <v>395</v>
      </c>
      <c r="CQ14" s="263" t="s">
        <v>395</v>
      </c>
      <c r="CR14" s="263" t="s">
        <v>395</v>
      </c>
      <c r="CS14" s="263" t="s">
        <v>395</v>
      </c>
      <c r="CT14" s="263" t="s">
        <v>395</v>
      </c>
      <c r="CU14" s="263" t="s">
        <v>395</v>
      </c>
      <c r="CV14" s="263" t="s">
        <v>395</v>
      </c>
      <c r="CW14" s="263" t="s">
        <v>395</v>
      </c>
      <c r="CX14" s="263" t="s">
        <v>395</v>
      </c>
      <c r="CY14" s="263" t="s">
        <v>395</v>
      </c>
    </row>
    <row r="15" spans="1:103" s="204" customFormat="1" x14ac:dyDescent="0.3">
      <c r="A15" s="235" t="s">
        <v>167</v>
      </c>
      <c r="B15" s="98" t="s">
        <v>167</v>
      </c>
      <c r="C15" s="154" t="s">
        <v>20</v>
      </c>
      <c r="D15" s="154"/>
      <c r="E15" s="154"/>
      <c r="F15" s="154"/>
      <c r="G15" s="219">
        <v>45503</v>
      </c>
      <c r="H15" s="204">
        <v>2024</v>
      </c>
      <c r="I15" s="75" t="s">
        <v>33</v>
      </c>
      <c r="J15" s="75">
        <v>10</v>
      </c>
      <c r="K15" s="212">
        <v>0.771395809444403</v>
      </c>
      <c r="L15" s="24" t="s">
        <v>394</v>
      </c>
      <c r="M15" s="182">
        <v>0.59</v>
      </c>
      <c r="N15" s="182">
        <v>1.7</v>
      </c>
      <c r="O15" s="182">
        <v>7.5</v>
      </c>
      <c r="P15" s="182">
        <v>5.7</v>
      </c>
      <c r="Q15" s="182">
        <v>11</v>
      </c>
      <c r="R15" s="182">
        <v>10</v>
      </c>
      <c r="S15" s="182">
        <v>1.9</v>
      </c>
      <c r="T15" s="184">
        <v>38.389999999999993</v>
      </c>
      <c r="U15" s="84">
        <f t="shared" si="2"/>
        <v>211.88862837837382</v>
      </c>
      <c r="V15" s="205" t="s">
        <v>40</v>
      </c>
      <c r="W15" s="205">
        <v>0.16</v>
      </c>
      <c r="X15" s="205">
        <v>8.1000000000000003E-2</v>
      </c>
      <c r="Y15" s="205">
        <v>5.8000000000000003E-2</v>
      </c>
      <c r="Z15" s="205" t="s">
        <v>40</v>
      </c>
      <c r="AA15" s="261">
        <v>1.9E-2</v>
      </c>
      <c r="AB15" s="261">
        <v>1.6E-2</v>
      </c>
      <c r="AC15" s="74" t="s">
        <v>379</v>
      </c>
      <c r="AD15" s="81">
        <v>0.33</v>
      </c>
      <c r="AE15" s="205">
        <f t="shared" si="0"/>
        <v>0.33400000000000002</v>
      </c>
      <c r="AF15" s="71">
        <v>3.1E-2</v>
      </c>
      <c r="AG15" s="205">
        <f t="shared" si="1"/>
        <v>0.20093445945945515</v>
      </c>
      <c r="AH15" s="86">
        <v>4.2958541666666665</v>
      </c>
      <c r="AI15" s="85" t="s">
        <v>133</v>
      </c>
      <c r="AJ15" s="85" t="s">
        <v>133</v>
      </c>
      <c r="AK15" s="262">
        <v>5.8812499999999997E-2</v>
      </c>
      <c r="AL15" s="85" t="s">
        <v>133</v>
      </c>
      <c r="AM15" s="85" t="s">
        <v>133</v>
      </c>
      <c r="AN15" s="85">
        <v>0.18233333333333329</v>
      </c>
      <c r="AO15" s="264">
        <v>0.139875</v>
      </c>
      <c r="AP15" s="85" t="s">
        <v>133</v>
      </c>
      <c r="AQ15" s="85">
        <v>0.25074999999999997</v>
      </c>
      <c r="AR15" s="85" t="s">
        <v>133</v>
      </c>
      <c r="AS15" s="85">
        <v>0.53149999999999997</v>
      </c>
      <c r="AT15" s="264">
        <v>0.13443749999999999</v>
      </c>
      <c r="AU15" s="85" t="s">
        <v>36</v>
      </c>
      <c r="AV15" s="85" t="s">
        <v>133</v>
      </c>
      <c r="AW15" s="85" t="s">
        <v>133</v>
      </c>
      <c r="AX15" s="85" t="s">
        <v>133</v>
      </c>
      <c r="AY15" s="85" t="s">
        <v>133</v>
      </c>
      <c r="AZ15" s="85" t="s">
        <v>133</v>
      </c>
      <c r="BA15" s="264">
        <v>9.5375000000000001E-2</v>
      </c>
      <c r="BB15" s="262">
        <v>7.3437499999999989E-2</v>
      </c>
      <c r="BC15" s="205" t="s">
        <v>395</v>
      </c>
      <c r="BD15" s="205" t="s">
        <v>395</v>
      </c>
      <c r="BE15" s="205" t="s">
        <v>395</v>
      </c>
      <c r="BF15" s="205" t="s">
        <v>395</v>
      </c>
      <c r="BG15" s="205" t="s">
        <v>395</v>
      </c>
      <c r="BH15" s="205" t="s">
        <v>395</v>
      </c>
      <c r="BI15" s="205" t="s">
        <v>395</v>
      </c>
      <c r="BJ15" s="205" t="s">
        <v>395</v>
      </c>
      <c r="BK15" s="205" t="s">
        <v>395</v>
      </c>
      <c r="BL15" s="205" t="s">
        <v>395</v>
      </c>
      <c r="BM15" s="205" t="s">
        <v>395</v>
      </c>
      <c r="BN15" s="182">
        <v>190</v>
      </c>
      <c r="BO15" s="205" t="s">
        <v>395</v>
      </c>
      <c r="BP15" s="205" t="s">
        <v>395</v>
      </c>
      <c r="BQ15" s="205" t="s">
        <v>395</v>
      </c>
      <c r="BR15" s="205" t="s">
        <v>395</v>
      </c>
      <c r="BS15" s="205" t="s">
        <v>395</v>
      </c>
      <c r="BT15" s="205" t="s">
        <v>395</v>
      </c>
      <c r="BU15" s="205" t="s">
        <v>395</v>
      </c>
      <c r="BV15" s="205" t="s">
        <v>395</v>
      </c>
      <c r="BW15" s="205" t="s">
        <v>395</v>
      </c>
      <c r="BX15" s="205" t="s">
        <v>395</v>
      </c>
      <c r="BY15" s="205" t="s">
        <v>395</v>
      </c>
      <c r="BZ15" s="205" t="s">
        <v>395</v>
      </c>
      <c r="CA15" s="205" t="s">
        <v>395</v>
      </c>
      <c r="CB15" s="205" t="s">
        <v>395</v>
      </c>
      <c r="CC15" s="205" t="s">
        <v>395</v>
      </c>
      <c r="CD15" s="205" t="s">
        <v>395</v>
      </c>
      <c r="CE15" s="205" t="s">
        <v>395</v>
      </c>
      <c r="CF15" s="205" t="s">
        <v>395</v>
      </c>
      <c r="CG15" s="205" t="s">
        <v>395</v>
      </c>
      <c r="CH15" s="205" t="s">
        <v>395</v>
      </c>
      <c r="CI15" s="263" t="s">
        <v>395</v>
      </c>
      <c r="CJ15" s="263" t="s">
        <v>395</v>
      </c>
      <c r="CK15" s="263" t="s">
        <v>395</v>
      </c>
      <c r="CL15" s="263" t="s">
        <v>395</v>
      </c>
      <c r="CM15" s="263" t="s">
        <v>395</v>
      </c>
      <c r="CN15" s="263" t="s">
        <v>395</v>
      </c>
      <c r="CO15" s="263" t="s">
        <v>395</v>
      </c>
      <c r="CP15" s="263" t="s">
        <v>395</v>
      </c>
      <c r="CQ15" s="263" t="s">
        <v>395</v>
      </c>
      <c r="CR15" s="263" t="s">
        <v>395</v>
      </c>
      <c r="CS15" s="263" t="s">
        <v>395</v>
      </c>
      <c r="CT15" s="263" t="s">
        <v>395</v>
      </c>
      <c r="CU15" s="263" t="s">
        <v>395</v>
      </c>
      <c r="CV15" s="263" t="s">
        <v>395</v>
      </c>
      <c r="CW15" s="263" t="s">
        <v>395</v>
      </c>
      <c r="CX15" s="263" t="s">
        <v>395</v>
      </c>
      <c r="CY15" s="263" t="s">
        <v>395</v>
      </c>
    </row>
    <row r="16" spans="1:103" s="204" customFormat="1" x14ac:dyDescent="0.3">
      <c r="A16" s="235" t="s">
        <v>30</v>
      </c>
      <c r="B16" s="179" t="s">
        <v>30</v>
      </c>
      <c r="C16" s="154" t="s">
        <v>20</v>
      </c>
      <c r="D16" s="154"/>
      <c r="E16" s="154"/>
      <c r="F16" s="154"/>
      <c r="G16" s="219">
        <v>45498</v>
      </c>
      <c r="H16" s="204">
        <v>2024</v>
      </c>
      <c r="I16" s="75" t="s">
        <v>33</v>
      </c>
      <c r="J16" s="75">
        <v>10</v>
      </c>
      <c r="K16" s="212">
        <v>0.72807850585627398</v>
      </c>
      <c r="L16" s="24" t="s">
        <v>394</v>
      </c>
      <c r="M16" s="182">
        <v>5.8999999999999997E-2</v>
      </c>
      <c r="N16" s="186">
        <v>0.3</v>
      </c>
      <c r="O16" s="182">
        <v>1.5</v>
      </c>
      <c r="P16" s="182">
        <v>1.4</v>
      </c>
      <c r="Q16" s="182">
        <v>2.9</v>
      </c>
      <c r="R16" s="182">
        <v>2.5</v>
      </c>
      <c r="S16" s="182">
        <v>0.74</v>
      </c>
      <c r="T16" s="183">
        <v>9.3989999999999991</v>
      </c>
      <c r="U16" s="84">
        <f t="shared" si="2"/>
        <v>54.93226304347899</v>
      </c>
      <c r="V16" s="205" t="s">
        <v>78</v>
      </c>
      <c r="W16" s="205">
        <v>3.1E-2</v>
      </c>
      <c r="X16" s="205">
        <v>3.7999999999999999E-2</v>
      </c>
      <c r="Y16" s="261">
        <v>1.0999999999999999E-2</v>
      </c>
      <c r="Z16" s="205" t="s">
        <v>78</v>
      </c>
      <c r="AA16" s="261">
        <v>9.9000000000000008E-3</v>
      </c>
      <c r="AB16" s="205" t="s">
        <v>78</v>
      </c>
      <c r="AC16" s="74" t="s">
        <v>378</v>
      </c>
      <c r="AD16" s="81">
        <v>0.09</v>
      </c>
      <c r="AE16" s="205">
        <f t="shared" si="0"/>
        <v>8.9899999999999994E-2</v>
      </c>
      <c r="AF16" s="74">
        <v>1.7000000000000001E-2</v>
      </c>
      <c r="AG16" s="205">
        <f t="shared" si="1"/>
        <v>0.1167456521739146</v>
      </c>
      <c r="AH16" s="86">
        <v>6.4871282051282044</v>
      </c>
      <c r="AI16" s="85" t="s">
        <v>133</v>
      </c>
      <c r="AJ16" s="85" t="s">
        <v>133</v>
      </c>
      <c r="AK16" s="262">
        <v>6.9538461538461535E-2</v>
      </c>
      <c r="AL16" s="85" t="s">
        <v>133</v>
      </c>
      <c r="AM16" s="85" t="s">
        <v>133</v>
      </c>
      <c r="AN16" s="85">
        <v>0.49410256410256409</v>
      </c>
      <c r="AO16" s="85">
        <v>0.15192307692307694</v>
      </c>
      <c r="AP16" s="85" t="s">
        <v>133</v>
      </c>
      <c r="AQ16" s="85">
        <v>0.56446153846153846</v>
      </c>
      <c r="AR16" s="85" t="s">
        <v>133</v>
      </c>
      <c r="AS16" s="85">
        <v>0.54453846153846153</v>
      </c>
      <c r="AT16" s="264">
        <v>7.8461538461538458E-2</v>
      </c>
      <c r="AU16" s="85" t="s">
        <v>36</v>
      </c>
      <c r="AV16" s="85" t="s">
        <v>133</v>
      </c>
      <c r="AW16" s="85" t="s">
        <v>133</v>
      </c>
      <c r="AX16" s="85" t="s">
        <v>133</v>
      </c>
      <c r="AY16" s="85" t="s">
        <v>133</v>
      </c>
      <c r="AZ16" s="85" t="s">
        <v>133</v>
      </c>
      <c r="BA16" s="85" t="s">
        <v>133</v>
      </c>
      <c r="BB16" s="85" t="s">
        <v>133</v>
      </c>
      <c r="BC16" s="205" t="s">
        <v>395</v>
      </c>
      <c r="BD16" s="205" t="s">
        <v>395</v>
      </c>
      <c r="BE16" s="205" t="s">
        <v>395</v>
      </c>
      <c r="BF16" s="205" t="s">
        <v>395</v>
      </c>
      <c r="BG16" s="205" t="s">
        <v>395</v>
      </c>
      <c r="BH16" s="205" t="s">
        <v>395</v>
      </c>
      <c r="BI16" s="205" t="s">
        <v>395</v>
      </c>
      <c r="BJ16" s="205" t="s">
        <v>395</v>
      </c>
      <c r="BK16" s="205" t="s">
        <v>395</v>
      </c>
      <c r="BL16" s="205" t="s">
        <v>395</v>
      </c>
      <c r="BM16" s="205" t="s">
        <v>395</v>
      </c>
      <c r="BN16" s="182">
        <v>34</v>
      </c>
      <c r="BO16" s="205" t="s">
        <v>395</v>
      </c>
      <c r="BP16" s="205" t="s">
        <v>395</v>
      </c>
      <c r="BQ16" s="205" t="s">
        <v>395</v>
      </c>
      <c r="BR16" s="205" t="s">
        <v>395</v>
      </c>
      <c r="BS16" s="205" t="s">
        <v>395</v>
      </c>
      <c r="BT16" s="205" t="s">
        <v>395</v>
      </c>
      <c r="BU16" s="205" t="s">
        <v>395</v>
      </c>
      <c r="BV16" s="205" t="s">
        <v>395</v>
      </c>
      <c r="BW16" s="205" t="s">
        <v>395</v>
      </c>
      <c r="BX16" s="205" t="s">
        <v>395</v>
      </c>
      <c r="BY16" s="205" t="s">
        <v>395</v>
      </c>
      <c r="BZ16" s="205" t="s">
        <v>395</v>
      </c>
      <c r="CA16" s="205" t="s">
        <v>395</v>
      </c>
      <c r="CB16" s="205" t="s">
        <v>395</v>
      </c>
      <c r="CC16" s="205" t="s">
        <v>395</v>
      </c>
      <c r="CD16" s="205" t="s">
        <v>395</v>
      </c>
      <c r="CE16" s="205" t="s">
        <v>395</v>
      </c>
      <c r="CF16" s="205" t="s">
        <v>395</v>
      </c>
      <c r="CG16" s="205" t="s">
        <v>395</v>
      </c>
      <c r="CH16" s="205" t="s">
        <v>395</v>
      </c>
      <c r="CI16" s="263" t="s">
        <v>395</v>
      </c>
      <c r="CJ16" s="263" t="s">
        <v>395</v>
      </c>
      <c r="CK16" s="263" t="s">
        <v>395</v>
      </c>
      <c r="CL16" s="263" t="s">
        <v>395</v>
      </c>
      <c r="CM16" s="263" t="s">
        <v>395</v>
      </c>
      <c r="CN16" s="263" t="s">
        <v>395</v>
      </c>
      <c r="CO16" s="263" t="s">
        <v>395</v>
      </c>
      <c r="CP16" s="263" t="s">
        <v>395</v>
      </c>
      <c r="CQ16" s="263" t="s">
        <v>395</v>
      </c>
      <c r="CR16" s="263" t="s">
        <v>395</v>
      </c>
      <c r="CS16" s="263" t="s">
        <v>395</v>
      </c>
      <c r="CT16" s="263" t="s">
        <v>395</v>
      </c>
      <c r="CU16" s="263" t="s">
        <v>395</v>
      </c>
      <c r="CV16" s="263" t="s">
        <v>395</v>
      </c>
      <c r="CW16" s="263" t="s">
        <v>395</v>
      </c>
      <c r="CX16" s="263" t="s">
        <v>395</v>
      </c>
      <c r="CY16" s="263" t="s">
        <v>395</v>
      </c>
    </row>
    <row r="17" spans="1:103" s="204" customFormat="1" x14ac:dyDescent="0.3">
      <c r="A17" s="235" t="s">
        <v>81</v>
      </c>
      <c r="B17" s="179" t="s">
        <v>81</v>
      </c>
      <c r="C17" s="154" t="s">
        <v>20</v>
      </c>
      <c r="D17" s="154"/>
      <c r="E17" s="154"/>
      <c r="F17" s="154"/>
      <c r="G17" s="219">
        <v>45503</v>
      </c>
      <c r="H17" s="204">
        <v>2024</v>
      </c>
      <c r="I17" s="75" t="s">
        <v>33</v>
      </c>
      <c r="J17" s="75">
        <v>10</v>
      </c>
      <c r="K17" s="212">
        <v>0.85898353614888701</v>
      </c>
      <c r="L17" s="24" t="s">
        <v>394</v>
      </c>
      <c r="M17" s="260">
        <v>2.9000000000000001E-2</v>
      </c>
      <c r="N17" s="182">
        <v>8.1000000000000003E-2</v>
      </c>
      <c r="O17" s="182">
        <v>0.48</v>
      </c>
      <c r="P17" s="182">
        <v>0.35</v>
      </c>
      <c r="Q17" s="182">
        <v>1.1000000000000001</v>
      </c>
      <c r="R17" s="183">
        <v>1</v>
      </c>
      <c r="S17" s="182">
        <v>0.36</v>
      </c>
      <c r="T17" s="183">
        <v>3.4</v>
      </c>
      <c r="U17" s="84">
        <f t="shared" si="2"/>
        <v>17.753541666666738</v>
      </c>
      <c r="V17" s="205" t="s">
        <v>40</v>
      </c>
      <c r="W17" s="205">
        <v>0.11</v>
      </c>
      <c r="X17" s="205">
        <v>4.9000000000000002E-2</v>
      </c>
      <c r="Y17" s="205">
        <v>7.4999999999999997E-2</v>
      </c>
      <c r="Z17" s="205" t="s">
        <v>40</v>
      </c>
      <c r="AA17" s="261">
        <v>9.4000000000000004E-3</v>
      </c>
      <c r="AB17" s="261">
        <v>9.2999999999999992E-3</v>
      </c>
      <c r="AC17" s="81" t="s">
        <v>379</v>
      </c>
      <c r="AD17" s="228">
        <v>0.25</v>
      </c>
      <c r="AE17" s="205">
        <f t="shared" si="0"/>
        <v>0.25269999999999998</v>
      </c>
      <c r="AF17" s="71">
        <v>0.16</v>
      </c>
      <c r="AG17" s="205">
        <f t="shared" si="1"/>
        <v>0.93133333333333712</v>
      </c>
      <c r="AH17" s="86">
        <v>4.0202207446808513</v>
      </c>
      <c r="AI17" s="85" t="s">
        <v>133</v>
      </c>
      <c r="AJ17" s="85" t="s">
        <v>133</v>
      </c>
      <c r="AK17" s="85" t="s">
        <v>133</v>
      </c>
      <c r="AL17" s="85" t="s">
        <v>133</v>
      </c>
      <c r="AM17" s="85" t="s">
        <v>133</v>
      </c>
      <c r="AN17" s="85">
        <v>0.46589361702127657</v>
      </c>
      <c r="AO17" s="85">
        <v>0.4397677304964539</v>
      </c>
      <c r="AP17" s="85" t="s">
        <v>133</v>
      </c>
      <c r="AQ17" s="85">
        <v>0.60697695035460997</v>
      </c>
      <c r="AR17" s="262">
        <v>7.728102836879433E-2</v>
      </c>
      <c r="AS17" s="86">
        <v>1.0599778368794328</v>
      </c>
      <c r="AT17" s="85">
        <v>0.22981737588652484</v>
      </c>
      <c r="AU17" s="85" t="s">
        <v>36</v>
      </c>
      <c r="AV17" s="85" t="s">
        <v>133</v>
      </c>
      <c r="AW17" s="85" t="s">
        <v>133</v>
      </c>
      <c r="AX17" s="85" t="s">
        <v>133</v>
      </c>
      <c r="AY17" s="85" t="s">
        <v>133</v>
      </c>
      <c r="AZ17" s="85" t="s">
        <v>133</v>
      </c>
      <c r="BA17" s="262">
        <v>8.5109929078014193E-2</v>
      </c>
      <c r="BB17" s="262">
        <v>5.1820035460992911E-2</v>
      </c>
      <c r="BC17" s="205" t="s">
        <v>395</v>
      </c>
      <c r="BD17" s="205" t="s">
        <v>395</v>
      </c>
      <c r="BE17" s="205" t="s">
        <v>395</v>
      </c>
      <c r="BF17" s="205" t="s">
        <v>395</v>
      </c>
      <c r="BG17" s="205" t="s">
        <v>395</v>
      </c>
      <c r="BH17" s="205" t="s">
        <v>395</v>
      </c>
      <c r="BI17" s="205" t="s">
        <v>395</v>
      </c>
      <c r="BJ17" s="205" t="s">
        <v>395</v>
      </c>
      <c r="BK17" s="205" t="s">
        <v>395</v>
      </c>
      <c r="BL17" s="205" t="s">
        <v>395</v>
      </c>
      <c r="BM17" s="205" t="s">
        <v>395</v>
      </c>
      <c r="BN17" s="182">
        <v>30</v>
      </c>
      <c r="BO17" s="205" t="s">
        <v>395</v>
      </c>
      <c r="BP17" s="205" t="s">
        <v>395</v>
      </c>
      <c r="BQ17" s="205" t="s">
        <v>395</v>
      </c>
      <c r="BR17" s="205" t="s">
        <v>395</v>
      </c>
      <c r="BS17" s="205" t="s">
        <v>395</v>
      </c>
      <c r="BT17" s="205" t="s">
        <v>395</v>
      </c>
      <c r="BU17" s="205" t="s">
        <v>395</v>
      </c>
      <c r="BV17" s="205" t="s">
        <v>395</v>
      </c>
      <c r="BW17" s="205" t="s">
        <v>395</v>
      </c>
      <c r="BX17" s="205" t="s">
        <v>395</v>
      </c>
      <c r="BY17" s="205" t="s">
        <v>395</v>
      </c>
      <c r="BZ17" s="205" t="s">
        <v>395</v>
      </c>
      <c r="CA17" s="205" t="s">
        <v>395</v>
      </c>
      <c r="CB17" s="205" t="s">
        <v>395</v>
      </c>
      <c r="CC17" s="205" t="s">
        <v>395</v>
      </c>
      <c r="CD17" s="205" t="s">
        <v>395</v>
      </c>
      <c r="CE17" s="205" t="s">
        <v>395</v>
      </c>
      <c r="CF17" s="205" t="s">
        <v>395</v>
      </c>
      <c r="CG17" s="205" t="s">
        <v>395</v>
      </c>
      <c r="CH17" s="205" t="s">
        <v>395</v>
      </c>
      <c r="CI17" s="263" t="s">
        <v>395</v>
      </c>
      <c r="CJ17" s="263" t="s">
        <v>395</v>
      </c>
      <c r="CK17" s="263" t="s">
        <v>395</v>
      </c>
      <c r="CL17" s="263" t="s">
        <v>395</v>
      </c>
      <c r="CM17" s="263" t="s">
        <v>395</v>
      </c>
      <c r="CN17" s="263" t="s">
        <v>395</v>
      </c>
      <c r="CO17" s="263" t="s">
        <v>395</v>
      </c>
      <c r="CP17" s="263" t="s">
        <v>395</v>
      </c>
      <c r="CQ17" s="263" t="s">
        <v>395</v>
      </c>
      <c r="CR17" s="263" t="s">
        <v>395</v>
      </c>
      <c r="CS17" s="263" t="s">
        <v>395</v>
      </c>
      <c r="CT17" s="263" t="s">
        <v>395</v>
      </c>
      <c r="CU17" s="263" t="s">
        <v>395</v>
      </c>
      <c r="CV17" s="263" t="s">
        <v>395</v>
      </c>
      <c r="CW17" s="263" t="s">
        <v>395</v>
      </c>
      <c r="CX17" s="263" t="s">
        <v>395</v>
      </c>
      <c r="CY17" s="263" t="s">
        <v>395</v>
      </c>
    </row>
    <row r="18" spans="1:103" s="204" customFormat="1" x14ac:dyDescent="0.3">
      <c r="A18" s="235" t="s">
        <v>370</v>
      </c>
      <c r="B18" s="180" t="s">
        <v>370</v>
      </c>
      <c r="C18" s="154" t="s">
        <v>20</v>
      </c>
      <c r="D18" s="154"/>
      <c r="E18" s="154"/>
      <c r="F18" s="154"/>
      <c r="G18" s="219">
        <v>45545</v>
      </c>
      <c r="H18" s="204">
        <v>2024</v>
      </c>
      <c r="I18" s="75" t="s">
        <v>33</v>
      </c>
      <c r="J18" s="75">
        <v>10</v>
      </c>
      <c r="K18" s="212">
        <v>1.04870424523548</v>
      </c>
      <c r="L18" s="24" t="s">
        <v>394</v>
      </c>
      <c r="M18" s="260">
        <v>1.7999999999999999E-2</v>
      </c>
      <c r="N18" s="189" t="s">
        <v>107</v>
      </c>
      <c r="O18" s="182">
        <v>0.13</v>
      </c>
      <c r="P18" s="182">
        <v>0.17</v>
      </c>
      <c r="Q18" s="182">
        <v>0.49</v>
      </c>
      <c r="R18" s="182">
        <v>0.34</v>
      </c>
      <c r="S18" s="186">
        <v>0.1</v>
      </c>
      <c r="T18" s="183">
        <v>1.2480000000000002</v>
      </c>
      <c r="U18" s="84">
        <f t="shared" si="2"/>
        <v>5.1396759615383356</v>
      </c>
      <c r="V18" s="205" t="s">
        <v>34</v>
      </c>
      <c r="W18" s="205">
        <v>3.1E-2</v>
      </c>
      <c r="X18" s="205">
        <v>2.4E-2</v>
      </c>
      <c r="Y18" s="205" t="s">
        <v>377</v>
      </c>
      <c r="Z18" s="205" t="s">
        <v>34</v>
      </c>
      <c r="AA18" s="261">
        <v>1.2999999999999999E-2</v>
      </c>
      <c r="AB18" s="205" t="s">
        <v>34</v>
      </c>
      <c r="AC18" s="81" t="s">
        <v>373</v>
      </c>
      <c r="AD18" s="81">
        <v>6.8000000000000005E-2</v>
      </c>
      <c r="AE18" s="205">
        <f t="shared" si="0"/>
        <v>6.8000000000000005E-2</v>
      </c>
      <c r="AF18" s="74" t="s">
        <v>171</v>
      </c>
      <c r="AG18" s="205" t="e">
        <f t="shared" si="1"/>
        <v>#VALUE!</v>
      </c>
      <c r="AH18" s="84">
        <v>16.928919925512105</v>
      </c>
      <c r="AI18" s="85" t="s">
        <v>133</v>
      </c>
      <c r="AJ18" s="85" t="s">
        <v>133</v>
      </c>
      <c r="AK18" s="262">
        <v>6.5363128491620112E-2</v>
      </c>
      <c r="AL18" s="85" t="s">
        <v>133</v>
      </c>
      <c r="AM18" s="85" t="s">
        <v>133</v>
      </c>
      <c r="AN18" s="85">
        <v>0.36694599627560515</v>
      </c>
      <c r="AO18" s="264">
        <v>9.9720670391061458E-2</v>
      </c>
      <c r="AP18" s="85" t="s">
        <v>133</v>
      </c>
      <c r="AQ18" s="85">
        <v>0.21128491620111731</v>
      </c>
      <c r="AR18" s="85" t="s">
        <v>133</v>
      </c>
      <c r="AS18" s="262">
        <v>5.1899441340782122E-2</v>
      </c>
      <c r="AT18" s="85" t="s">
        <v>133</v>
      </c>
      <c r="AU18" s="85" t="s">
        <v>36</v>
      </c>
      <c r="AV18" s="85" t="s">
        <v>133</v>
      </c>
      <c r="AW18" s="85" t="s">
        <v>133</v>
      </c>
      <c r="AX18" s="85" t="s">
        <v>133</v>
      </c>
      <c r="AY18" s="85" t="s">
        <v>133</v>
      </c>
      <c r="AZ18" s="85" t="s">
        <v>133</v>
      </c>
      <c r="BA18" s="85" t="s">
        <v>133</v>
      </c>
      <c r="BB18" s="85" t="s">
        <v>133</v>
      </c>
      <c r="BC18" s="205" t="s">
        <v>395</v>
      </c>
      <c r="BD18" s="205" t="s">
        <v>395</v>
      </c>
      <c r="BE18" s="205" t="s">
        <v>395</v>
      </c>
      <c r="BF18" s="205" t="s">
        <v>395</v>
      </c>
      <c r="BG18" s="205" t="s">
        <v>395</v>
      </c>
      <c r="BH18" s="205" t="s">
        <v>395</v>
      </c>
      <c r="BI18" s="205" t="s">
        <v>395</v>
      </c>
      <c r="BJ18" s="205" t="s">
        <v>395</v>
      </c>
      <c r="BK18" s="205" t="s">
        <v>395</v>
      </c>
      <c r="BL18" s="205" t="s">
        <v>395</v>
      </c>
      <c r="BM18" s="205" t="s">
        <v>395</v>
      </c>
      <c r="BN18" s="182">
        <v>43</v>
      </c>
      <c r="BO18" s="205" t="s">
        <v>395</v>
      </c>
      <c r="BP18" s="205" t="s">
        <v>395</v>
      </c>
      <c r="BQ18" s="205" t="s">
        <v>395</v>
      </c>
      <c r="BR18" s="205" t="s">
        <v>395</v>
      </c>
      <c r="BS18" s="205" t="s">
        <v>395</v>
      </c>
      <c r="BT18" s="205" t="s">
        <v>395</v>
      </c>
      <c r="BU18" s="205" t="s">
        <v>395</v>
      </c>
      <c r="BV18" s="205" t="s">
        <v>395</v>
      </c>
      <c r="BW18" s="205" t="s">
        <v>395</v>
      </c>
      <c r="BX18" s="205" t="s">
        <v>395</v>
      </c>
      <c r="BY18" s="205" t="s">
        <v>395</v>
      </c>
      <c r="BZ18" s="205" t="s">
        <v>395</v>
      </c>
      <c r="CA18" s="205" t="s">
        <v>395</v>
      </c>
      <c r="CB18" s="205" t="s">
        <v>395</v>
      </c>
      <c r="CC18" s="205" t="s">
        <v>395</v>
      </c>
      <c r="CD18" s="205" t="s">
        <v>395</v>
      </c>
      <c r="CE18" s="205" t="s">
        <v>395</v>
      </c>
      <c r="CF18" s="205" t="s">
        <v>395</v>
      </c>
      <c r="CG18" s="205" t="s">
        <v>395</v>
      </c>
      <c r="CH18" s="205" t="s">
        <v>395</v>
      </c>
      <c r="CI18" s="263" t="s">
        <v>395</v>
      </c>
      <c r="CJ18" s="263" t="s">
        <v>395</v>
      </c>
      <c r="CK18" s="263" t="s">
        <v>395</v>
      </c>
      <c r="CL18" s="263" t="s">
        <v>395</v>
      </c>
      <c r="CM18" s="263" t="s">
        <v>395</v>
      </c>
      <c r="CN18" s="263" t="s">
        <v>395</v>
      </c>
      <c r="CO18" s="263" t="s">
        <v>395</v>
      </c>
      <c r="CP18" s="263" t="s">
        <v>395</v>
      </c>
      <c r="CQ18" s="263" t="s">
        <v>395</v>
      </c>
      <c r="CR18" s="263" t="s">
        <v>395</v>
      </c>
      <c r="CS18" s="263" t="s">
        <v>395</v>
      </c>
      <c r="CT18" s="263" t="s">
        <v>395</v>
      </c>
      <c r="CU18" s="263" t="s">
        <v>395</v>
      </c>
      <c r="CV18" s="263" t="s">
        <v>395</v>
      </c>
      <c r="CW18" s="263" t="s">
        <v>395</v>
      </c>
      <c r="CX18" s="263" t="s">
        <v>395</v>
      </c>
      <c r="CY18" s="263" t="s">
        <v>395</v>
      </c>
    </row>
    <row r="19" spans="1:103" s="204" customFormat="1" x14ac:dyDescent="0.3">
      <c r="A19" s="235" t="s">
        <v>7</v>
      </c>
      <c r="B19" s="180" t="s">
        <v>7</v>
      </c>
      <c r="C19" s="154" t="s">
        <v>20</v>
      </c>
      <c r="D19" s="154"/>
      <c r="E19" s="154"/>
      <c r="F19" s="154"/>
      <c r="G19" s="219">
        <v>45533</v>
      </c>
      <c r="H19" s="204">
        <v>2024</v>
      </c>
      <c r="I19" s="75" t="s">
        <v>33</v>
      </c>
      <c r="J19" s="75">
        <v>10</v>
      </c>
      <c r="K19" s="212">
        <v>0.680540487227563</v>
      </c>
      <c r="L19" s="24" t="s">
        <v>394</v>
      </c>
      <c r="M19" s="182">
        <v>4.8000000000000001E-2</v>
      </c>
      <c r="N19" s="182">
        <v>0.24</v>
      </c>
      <c r="O19" s="182">
        <v>1.1000000000000001</v>
      </c>
      <c r="P19" s="182">
        <v>0.96</v>
      </c>
      <c r="Q19" s="182">
        <v>2.2999999999999998</v>
      </c>
      <c r="R19" s="182">
        <v>2.1</v>
      </c>
      <c r="S19" s="182">
        <v>0.61</v>
      </c>
      <c r="T19" s="183">
        <v>7.3579999999999997</v>
      </c>
      <c r="U19" s="84">
        <f t="shared" si="2"/>
        <v>47.006755072461992</v>
      </c>
      <c r="V19" s="205" t="s">
        <v>76</v>
      </c>
      <c r="W19" s="205">
        <v>0.08</v>
      </c>
      <c r="X19" s="205">
        <v>5.5E-2</v>
      </c>
      <c r="Y19" s="205">
        <v>3.3000000000000002E-2</v>
      </c>
      <c r="Z19" s="205" t="s">
        <v>76</v>
      </c>
      <c r="AA19" s="261">
        <v>9.7000000000000003E-3</v>
      </c>
      <c r="AB19" s="205" t="s">
        <v>76</v>
      </c>
      <c r="AC19" s="81" t="s">
        <v>375</v>
      </c>
      <c r="AD19" s="228">
        <v>0.18</v>
      </c>
      <c r="AE19" s="205">
        <f t="shared" si="0"/>
        <v>0.17770000000000002</v>
      </c>
      <c r="AF19" s="74">
        <v>8.4000000000000005E-2</v>
      </c>
      <c r="AG19" s="205">
        <f t="shared" si="1"/>
        <v>0.61715652173910707</v>
      </c>
      <c r="AH19" s="84">
        <v>10.248264299802761</v>
      </c>
      <c r="AI19" s="85" t="s">
        <v>133</v>
      </c>
      <c r="AJ19" s="85" t="s">
        <v>133</v>
      </c>
      <c r="AK19" s="85" t="s">
        <v>133</v>
      </c>
      <c r="AL19" s="85" t="s">
        <v>133</v>
      </c>
      <c r="AM19" s="262">
        <v>5.9684418145956604E-2</v>
      </c>
      <c r="AN19" s="86">
        <v>1.624516765285996</v>
      </c>
      <c r="AO19" s="85">
        <v>0.38100591715976334</v>
      </c>
      <c r="AP19" s="85" t="s">
        <v>133</v>
      </c>
      <c r="AQ19" s="86">
        <v>1.6323668639053253</v>
      </c>
      <c r="AR19" s="85" t="s">
        <v>133</v>
      </c>
      <c r="AS19" s="86">
        <v>1.1957396449704143</v>
      </c>
      <c r="AT19" s="85">
        <v>0.185207100591716</v>
      </c>
      <c r="AU19" s="85" t="s">
        <v>36</v>
      </c>
      <c r="AV19" s="85" t="s">
        <v>133</v>
      </c>
      <c r="AW19" s="85" t="s">
        <v>133</v>
      </c>
      <c r="AX19" s="85" t="s">
        <v>133</v>
      </c>
      <c r="AY19" s="85" t="s">
        <v>133</v>
      </c>
      <c r="AZ19" s="85" t="s">
        <v>133</v>
      </c>
      <c r="BA19" s="85" t="s">
        <v>133</v>
      </c>
      <c r="BB19" s="85" t="s">
        <v>133</v>
      </c>
      <c r="BC19" s="205" t="s">
        <v>395</v>
      </c>
      <c r="BD19" s="205" t="s">
        <v>395</v>
      </c>
      <c r="BE19" s="205" t="s">
        <v>395</v>
      </c>
      <c r="BF19" s="205" t="s">
        <v>395</v>
      </c>
      <c r="BG19" s="205" t="s">
        <v>395</v>
      </c>
      <c r="BH19" s="205" t="s">
        <v>395</v>
      </c>
      <c r="BI19" s="205" t="s">
        <v>395</v>
      </c>
      <c r="BJ19" s="205" t="s">
        <v>395</v>
      </c>
      <c r="BK19" s="205" t="s">
        <v>395</v>
      </c>
      <c r="BL19" s="205" t="s">
        <v>395</v>
      </c>
      <c r="BM19" s="205" t="s">
        <v>395</v>
      </c>
      <c r="BN19" s="182">
        <v>47</v>
      </c>
      <c r="BO19" s="205" t="s">
        <v>395</v>
      </c>
      <c r="BP19" s="205" t="s">
        <v>395</v>
      </c>
      <c r="BQ19" s="205" t="s">
        <v>395</v>
      </c>
      <c r="BR19" s="205" t="s">
        <v>395</v>
      </c>
      <c r="BS19" s="205" t="s">
        <v>395</v>
      </c>
      <c r="BT19" s="205" t="s">
        <v>395</v>
      </c>
      <c r="BU19" s="205" t="s">
        <v>395</v>
      </c>
      <c r="BV19" s="205" t="s">
        <v>395</v>
      </c>
      <c r="BW19" s="205" t="s">
        <v>395</v>
      </c>
      <c r="BX19" s="205" t="s">
        <v>395</v>
      </c>
      <c r="BY19" s="205" t="s">
        <v>395</v>
      </c>
      <c r="BZ19" s="205" t="s">
        <v>395</v>
      </c>
      <c r="CA19" s="205" t="s">
        <v>395</v>
      </c>
      <c r="CB19" s="205" t="s">
        <v>395</v>
      </c>
      <c r="CC19" s="205" t="s">
        <v>395</v>
      </c>
      <c r="CD19" s="205" t="s">
        <v>395</v>
      </c>
      <c r="CE19" s="205" t="s">
        <v>395</v>
      </c>
      <c r="CF19" s="205" t="s">
        <v>395</v>
      </c>
      <c r="CG19" s="205" t="s">
        <v>395</v>
      </c>
      <c r="CH19" s="205" t="s">
        <v>395</v>
      </c>
      <c r="CI19" s="263" t="s">
        <v>395</v>
      </c>
      <c r="CJ19" s="263" t="s">
        <v>395</v>
      </c>
      <c r="CK19" s="263" t="s">
        <v>395</v>
      </c>
      <c r="CL19" s="263" t="s">
        <v>395</v>
      </c>
      <c r="CM19" s="263" t="s">
        <v>395</v>
      </c>
      <c r="CN19" s="263" t="s">
        <v>395</v>
      </c>
      <c r="CO19" s="263" t="s">
        <v>395</v>
      </c>
      <c r="CP19" s="263" t="s">
        <v>395</v>
      </c>
      <c r="CQ19" s="263" t="s">
        <v>395</v>
      </c>
      <c r="CR19" s="263" t="s">
        <v>395</v>
      </c>
      <c r="CS19" s="263" t="s">
        <v>395</v>
      </c>
      <c r="CT19" s="263" t="s">
        <v>395</v>
      </c>
      <c r="CU19" s="263" t="s">
        <v>395</v>
      </c>
      <c r="CV19" s="263" t="s">
        <v>395</v>
      </c>
      <c r="CW19" s="263" t="s">
        <v>395</v>
      </c>
      <c r="CX19" s="263" t="s">
        <v>395</v>
      </c>
      <c r="CY19" s="263" t="s">
        <v>395</v>
      </c>
    </row>
    <row r="20" spans="1:103" s="204" customFormat="1" x14ac:dyDescent="0.3">
      <c r="A20" s="235" t="s">
        <v>5</v>
      </c>
      <c r="B20" s="179" t="s">
        <v>5</v>
      </c>
      <c r="C20" s="154" t="s">
        <v>20</v>
      </c>
      <c r="D20" s="154"/>
      <c r="E20" s="154"/>
      <c r="F20" s="154"/>
      <c r="G20" s="219">
        <v>45533</v>
      </c>
      <c r="H20" s="204">
        <v>2024</v>
      </c>
      <c r="I20" s="75" t="s">
        <v>33</v>
      </c>
      <c r="J20" s="75">
        <v>10</v>
      </c>
      <c r="K20" s="212">
        <v>1.0124724871606601</v>
      </c>
      <c r="L20" s="24" t="s">
        <v>394</v>
      </c>
      <c r="M20" s="182">
        <v>2.1</v>
      </c>
      <c r="N20" s="182">
        <v>5.2</v>
      </c>
      <c r="O20" s="182">
        <v>18</v>
      </c>
      <c r="P20" s="182">
        <v>17</v>
      </c>
      <c r="Q20" s="182">
        <v>27</v>
      </c>
      <c r="R20" s="182">
        <v>26</v>
      </c>
      <c r="S20" s="182">
        <v>6.2</v>
      </c>
      <c r="T20" s="184">
        <v>101.5</v>
      </c>
      <c r="U20" s="84">
        <f t="shared" si="2"/>
        <v>417.29528985507864</v>
      </c>
      <c r="V20" s="205" t="s">
        <v>40</v>
      </c>
      <c r="W20" s="205">
        <v>0.23</v>
      </c>
      <c r="X20" s="205">
        <v>0.13</v>
      </c>
      <c r="Y20" s="205">
        <v>0.19</v>
      </c>
      <c r="Z20" s="205" t="s">
        <v>40</v>
      </c>
      <c r="AA20" s="205">
        <v>5.1999999999999998E-2</v>
      </c>
      <c r="AB20" s="205">
        <v>3.9E-2</v>
      </c>
      <c r="AC20" s="81" t="s">
        <v>376</v>
      </c>
      <c r="AD20" s="228">
        <v>0.64</v>
      </c>
      <c r="AE20" s="205">
        <f t="shared" si="0"/>
        <v>0.64100000000000013</v>
      </c>
      <c r="AF20" s="74">
        <v>2.1000000000000001E-2</v>
      </c>
      <c r="AG20" s="205">
        <f t="shared" si="1"/>
        <v>0.10370652173913197</v>
      </c>
      <c r="AH20" s="86">
        <v>9.0075098039215682</v>
      </c>
      <c r="AI20" s="85" t="s">
        <v>133</v>
      </c>
      <c r="AJ20" s="85" t="s">
        <v>133</v>
      </c>
      <c r="AK20" s="85" t="s">
        <v>133</v>
      </c>
      <c r="AL20" s="85" t="s">
        <v>133</v>
      </c>
      <c r="AM20" s="85" t="s">
        <v>133</v>
      </c>
      <c r="AN20" s="85">
        <v>0.25472549019607843</v>
      </c>
      <c r="AO20" s="264">
        <v>0.13629411764705882</v>
      </c>
      <c r="AP20" s="85" t="s">
        <v>133</v>
      </c>
      <c r="AQ20" s="85">
        <v>0.40688235294117653</v>
      </c>
      <c r="AR20" s="85" t="s">
        <v>133</v>
      </c>
      <c r="AS20" s="85">
        <v>0.85200000000000009</v>
      </c>
      <c r="AT20" s="85">
        <v>0.2521176470588235</v>
      </c>
      <c r="AU20" s="85" t="s">
        <v>36</v>
      </c>
      <c r="AV20" s="85" t="s">
        <v>133</v>
      </c>
      <c r="AW20" s="262">
        <v>7.0411764705882354E-2</v>
      </c>
      <c r="AX20" s="85" t="s">
        <v>133</v>
      </c>
      <c r="AY20" s="85" t="s">
        <v>133</v>
      </c>
      <c r="AZ20" s="85" t="s">
        <v>133</v>
      </c>
      <c r="BA20" s="85" t="s">
        <v>133</v>
      </c>
      <c r="BB20" s="85" t="s">
        <v>133</v>
      </c>
      <c r="BC20" s="205" t="s">
        <v>395</v>
      </c>
      <c r="BD20" s="205" t="s">
        <v>395</v>
      </c>
      <c r="BE20" s="205" t="s">
        <v>395</v>
      </c>
      <c r="BF20" s="205" t="s">
        <v>395</v>
      </c>
      <c r="BG20" s="205" t="s">
        <v>395</v>
      </c>
      <c r="BH20" s="205" t="s">
        <v>395</v>
      </c>
      <c r="BI20" s="205" t="s">
        <v>395</v>
      </c>
      <c r="BJ20" s="205" t="s">
        <v>395</v>
      </c>
      <c r="BK20" s="205" t="s">
        <v>395</v>
      </c>
      <c r="BL20" s="205" t="s">
        <v>395</v>
      </c>
      <c r="BM20" s="205" t="s">
        <v>395</v>
      </c>
      <c r="BN20" s="182">
        <v>48</v>
      </c>
      <c r="BO20" s="205" t="s">
        <v>395</v>
      </c>
      <c r="BP20" s="205" t="s">
        <v>395</v>
      </c>
      <c r="BQ20" s="205" t="s">
        <v>395</v>
      </c>
      <c r="BR20" s="205" t="s">
        <v>395</v>
      </c>
      <c r="BS20" s="205" t="s">
        <v>395</v>
      </c>
      <c r="BT20" s="205" t="s">
        <v>395</v>
      </c>
      <c r="BU20" s="205" t="s">
        <v>395</v>
      </c>
      <c r="BV20" s="205" t="s">
        <v>395</v>
      </c>
      <c r="BW20" s="205" t="s">
        <v>395</v>
      </c>
      <c r="BX20" s="205" t="s">
        <v>395</v>
      </c>
      <c r="BY20" s="205" t="s">
        <v>395</v>
      </c>
      <c r="BZ20" s="205" t="s">
        <v>395</v>
      </c>
      <c r="CA20" s="205" t="s">
        <v>395</v>
      </c>
      <c r="CB20" s="205" t="s">
        <v>395</v>
      </c>
      <c r="CC20" s="205" t="s">
        <v>395</v>
      </c>
      <c r="CD20" s="205" t="s">
        <v>395</v>
      </c>
      <c r="CE20" s="205" t="s">
        <v>395</v>
      </c>
      <c r="CF20" s="205" t="s">
        <v>395</v>
      </c>
      <c r="CG20" s="205" t="s">
        <v>395</v>
      </c>
      <c r="CH20" s="205" t="s">
        <v>395</v>
      </c>
      <c r="CI20" s="263" t="s">
        <v>395</v>
      </c>
      <c r="CJ20" s="263" t="s">
        <v>395</v>
      </c>
      <c r="CK20" s="263" t="s">
        <v>395</v>
      </c>
      <c r="CL20" s="263" t="s">
        <v>395</v>
      </c>
      <c r="CM20" s="263" t="s">
        <v>395</v>
      </c>
      <c r="CN20" s="263" t="s">
        <v>395</v>
      </c>
      <c r="CO20" s="263" t="s">
        <v>395</v>
      </c>
      <c r="CP20" s="263" t="s">
        <v>395</v>
      </c>
      <c r="CQ20" s="263" t="s">
        <v>395</v>
      </c>
      <c r="CR20" s="263" t="s">
        <v>395</v>
      </c>
      <c r="CS20" s="263" t="s">
        <v>395</v>
      </c>
      <c r="CT20" s="263" t="s">
        <v>395</v>
      </c>
      <c r="CU20" s="263" t="s">
        <v>395</v>
      </c>
      <c r="CV20" s="263" t="s">
        <v>395</v>
      </c>
      <c r="CW20" s="263" t="s">
        <v>395</v>
      </c>
      <c r="CX20" s="263" t="s">
        <v>395</v>
      </c>
      <c r="CY20" s="263" t="s">
        <v>395</v>
      </c>
    </row>
    <row r="21" spans="1:103" s="204" customFormat="1" x14ac:dyDescent="0.3">
      <c r="A21" s="235" t="s">
        <v>166</v>
      </c>
      <c r="B21" s="179" t="s">
        <v>166</v>
      </c>
      <c r="C21" s="154" t="s">
        <v>20</v>
      </c>
      <c r="D21" s="154"/>
      <c r="E21" s="154"/>
      <c r="F21" s="154"/>
      <c r="G21" s="219">
        <v>45494</v>
      </c>
      <c r="H21" s="204">
        <v>2024</v>
      </c>
      <c r="I21" s="75" t="s">
        <v>33</v>
      </c>
      <c r="J21" s="75">
        <v>10</v>
      </c>
      <c r="K21" s="212">
        <v>0.68558168969515598</v>
      </c>
      <c r="L21" s="24" t="s">
        <v>394</v>
      </c>
      <c r="M21" s="260">
        <v>1.9E-2</v>
      </c>
      <c r="N21" s="182">
        <v>0.24</v>
      </c>
      <c r="O21" s="182">
        <v>3.4</v>
      </c>
      <c r="P21" s="182">
        <v>3.7</v>
      </c>
      <c r="Q21" s="182">
        <v>9.6999999999999993</v>
      </c>
      <c r="R21" s="182">
        <v>8.5</v>
      </c>
      <c r="S21" s="182">
        <v>2.9</v>
      </c>
      <c r="T21" s="184">
        <v>28.458999999999996</v>
      </c>
      <c r="U21" s="84">
        <f t="shared" si="2"/>
        <v>180.56929153846778</v>
      </c>
      <c r="V21" s="205" t="s">
        <v>40</v>
      </c>
      <c r="W21" s="205">
        <v>6.0999999999999999E-2</v>
      </c>
      <c r="X21" s="85">
        <v>0.2</v>
      </c>
      <c r="Y21" s="205">
        <v>3.5000000000000003E-2</v>
      </c>
      <c r="Z21" s="205" t="s">
        <v>40</v>
      </c>
      <c r="AA21" s="262">
        <v>0.01</v>
      </c>
      <c r="AB21" s="261">
        <v>1.6E-2</v>
      </c>
      <c r="AC21" s="81" t="s">
        <v>379</v>
      </c>
      <c r="AD21" s="228">
        <v>0.32</v>
      </c>
      <c r="AE21" s="205">
        <f t="shared" si="0"/>
        <v>0.32200000000000006</v>
      </c>
      <c r="AF21" s="71">
        <v>4.3999999999999997E-2</v>
      </c>
      <c r="AG21" s="205">
        <f t="shared" si="1"/>
        <v>0.32089538461539574</v>
      </c>
      <c r="AH21" s="84">
        <v>10.823637992831541</v>
      </c>
      <c r="AI21" s="85" t="s">
        <v>133</v>
      </c>
      <c r="AJ21" s="85" t="s">
        <v>133</v>
      </c>
      <c r="AK21" s="262">
        <v>7.4731182795698931E-2</v>
      </c>
      <c r="AL21" s="85" t="s">
        <v>133</v>
      </c>
      <c r="AM21" s="262">
        <v>7.9068100358422946E-2</v>
      </c>
      <c r="AN21" s="85">
        <v>0.85899641577060926</v>
      </c>
      <c r="AO21" s="85">
        <v>0.20887096774193545</v>
      </c>
      <c r="AP21" s="85" t="s">
        <v>133</v>
      </c>
      <c r="AQ21" s="85">
        <v>0.5921505376344085</v>
      </c>
      <c r="AR21" s="85" t="s">
        <v>133</v>
      </c>
      <c r="AS21" s="85">
        <v>0.58580645161290323</v>
      </c>
      <c r="AT21" s="85" t="s">
        <v>133</v>
      </c>
      <c r="AU21" s="85" t="s">
        <v>36</v>
      </c>
      <c r="AV21" s="85" t="s">
        <v>133</v>
      </c>
      <c r="AW21" s="85" t="s">
        <v>133</v>
      </c>
      <c r="AX21" s="85" t="s">
        <v>133</v>
      </c>
      <c r="AY21" s="85" t="s">
        <v>133</v>
      </c>
      <c r="AZ21" s="85" t="s">
        <v>133</v>
      </c>
      <c r="BA21" s="85" t="s">
        <v>133</v>
      </c>
      <c r="BB21" s="85" t="s">
        <v>133</v>
      </c>
      <c r="BC21" s="205" t="s">
        <v>395</v>
      </c>
      <c r="BD21" s="205" t="s">
        <v>395</v>
      </c>
      <c r="BE21" s="205" t="s">
        <v>395</v>
      </c>
      <c r="BF21" s="205" t="s">
        <v>395</v>
      </c>
      <c r="BG21" s="205" t="s">
        <v>395</v>
      </c>
      <c r="BH21" s="205" t="s">
        <v>395</v>
      </c>
      <c r="BI21" s="205" t="s">
        <v>395</v>
      </c>
      <c r="BJ21" s="205" t="s">
        <v>395</v>
      </c>
      <c r="BK21" s="205" t="s">
        <v>395</v>
      </c>
      <c r="BL21" s="205" t="s">
        <v>395</v>
      </c>
      <c r="BM21" s="205" t="s">
        <v>395</v>
      </c>
      <c r="BN21" s="182">
        <v>89</v>
      </c>
      <c r="BO21" s="205" t="s">
        <v>395</v>
      </c>
      <c r="BP21" s="205" t="s">
        <v>395</v>
      </c>
      <c r="BQ21" s="205" t="s">
        <v>395</v>
      </c>
      <c r="BR21" s="205" t="s">
        <v>395</v>
      </c>
      <c r="BS21" s="205" t="s">
        <v>395</v>
      </c>
      <c r="BT21" s="205" t="s">
        <v>395</v>
      </c>
      <c r="BU21" s="205" t="s">
        <v>395</v>
      </c>
      <c r="BV21" s="205" t="s">
        <v>395</v>
      </c>
      <c r="BW21" s="205" t="s">
        <v>395</v>
      </c>
      <c r="BX21" s="205" t="s">
        <v>395</v>
      </c>
      <c r="BY21" s="205" t="s">
        <v>395</v>
      </c>
      <c r="BZ21" s="205" t="s">
        <v>395</v>
      </c>
      <c r="CA21" s="205" t="s">
        <v>395</v>
      </c>
      <c r="CB21" s="205" t="s">
        <v>395</v>
      </c>
      <c r="CC21" s="205" t="s">
        <v>395</v>
      </c>
      <c r="CD21" s="205" t="s">
        <v>395</v>
      </c>
      <c r="CE21" s="205" t="s">
        <v>395</v>
      </c>
      <c r="CF21" s="205" t="s">
        <v>395</v>
      </c>
      <c r="CG21" s="205" t="s">
        <v>395</v>
      </c>
      <c r="CH21" s="205" t="s">
        <v>395</v>
      </c>
      <c r="CI21" s="263" t="s">
        <v>395</v>
      </c>
      <c r="CJ21" s="263" t="s">
        <v>395</v>
      </c>
      <c r="CK21" s="263" t="s">
        <v>395</v>
      </c>
      <c r="CL21" s="263" t="s">
        <v>395</v>
      </c>
      <c r="CM21" s="263" t="s">
        <v>395</v>
      </c>
      <c r="CN21" s="263" t="s">
        <v>395</v>
      </c>
      <c r="CO21" s="263" t="s">
        <v>395</v>
      </c>
      <c r="CP21" s="263" t="s">
        <v>395</v>
      </c>
      <c r="CQ21" s="263" t="s">
        <v>395</v>
      </c>
      <c r="CR21" s="263" t="s">
        <v>395</v>
      </c>
      <c r="CS21" s="263" t="s">
        <v>395</v>
      </c>
      <c r="CT21" s="263" t="s">
        <v>395</v>
      </c>
      <c r="CU21" s="263" t="s">
        <v>395</v>
      </c>
      <c r="CV21" s="263" t="s">
        <v>395</v>
      </c>
      <c r="CW21" s="263" t="s">
        <v>395</v>
      </c>
      <c r="CX21" s="263" t="s">
        <v>395</v>
      </c>
      <c r="CY21" s="263" t="s">
        <v>395</v>
      </c>
    </row>
    <row r="22" spans="1:103" s="204" customFormat="1" x14ac:dyDescent="0.3">
      <c r="A22" s="235" t="s">
        <v>371</v>
      </c>
      <c r="B22" s="179" t="s">
        <v>372</v>
      </c>
      <c r="C22" s="154" t="s">
        <v>20</v>
      </c>
      <c r="D22" s="154"/>
      <c r="E22" s="154"/>
      <c r="F22" s="154"/>
      <c r="G22" s="219">
        <v>45537</v>
      </c>
      <c r="H22" s="204">
        <v>2024</v>
      </c>
      <c r="I22" s="75" t="s">
        <v>33</v>
      </c>
      <c r="J22" s="75">
        <v>10</v>
      </c>
      <c r="K22" s="212">
        <v>0.89539660802693899</v>
      </c>
      <c r="L22" s="24" t="s">
        <v>394</v>
      </c>
      <c r="M22" s="182">
        <v>0.21</v>
      </c>
      <c r="N22" s="182">
        <v>0.97</v>
      </c>
      <c r="O22" s="182">
        <v>1.2</v>
      </c>
      <c r="P22" s="182">
        <v>1.1000000000000001</v>
      </c>
      <c r="Q22" s="182">
        <v>1.7</v>
      </c>
      <c r="R22" s="182">
        <v>1.4</v>
      </c>
      <c r="S22" s="182">
        <v>0.47</v>
      </c>
      <c r="T22" s="183">
        <v>7.05</v>
      </c>
      <c r="U22" s="84">
        <f t="shared" si="2"/>
        <v>33.225500000001048</v>
      </c>
      <c r="V22" s="205" t="s">
        <v>40</v>
      </c>
      <c r="W22" s="205">
        <v>5.6000000000000001E-2</v>
      </c>
      <c r="X22" s="268">
        <v>1.7999999999999999E-2</v>
      </c>
      <c r="Y22" s="205">
        <v>3.1E-2</v>
      </c>
      <c r="Z22" s="205" t="s">
        <v>40</v>
      </c>
      <c r="AA22" s="261">
        <v>9.2999999999999992E-3</v>
      </c>
      <c r="AB22" s="205" t="s">
        <v>40</v>
      </c>
      <c r="AC22" s="81" t="s">
        <v>373</v>
      </c>
      <c r="AD22" s="228">
        <v>0.11</v>
      </c>
      <c r="AE22" s="205">
        <f t="shared" si="0"/>
        <v>0.1143</v>
      </c>
      <c r="AF22" s="74">
        <v>7.4999999999999997E-3</v>
      </c>
      <c r="AG22" s="205">
        <f t="shared" si="1"/>
        <v>4.1880882352942496E-2</v>
      </c>
      <c r="AH22" s="86">
        <v>9.3587435897435896</v>
      </c>
      <c r="AI22" s="85" t="s">
        <v>133</v>
      </c>
      <c r="AJ22" s="85" t="s">
        <v>133</v>
      </c>
      <c r="AK22" s="85" t="s">
        <v>133</v>
      </c>
      <c r="AL22" s="85" t="s">
        <v>133</v>
      </c>
      <c r="AM22" s="85" t="s">
        <v>133</v>
      </c>
      <c r="AN22" s="85">
        <v>0.22548717948717945</v>
      </c>
      <c r="AO22" s="262">
        <v>9.0307692307692297E-2</v>
      </c>
      <c r="AP22" s="85" t="s">
        <v>133</v>
      </c>
      <c r="AQ22" s="85">
        <v>0.24253846153846151</v>
      </c>
      <c r="AR22" s="85" t="s">
        <v>133</v>
      </c>
      <c r="AS22" s="85">
        <v>0.15084615384615385</v>
      </c>
      <c r="AT22" s="85" t="s">
        <v>133</v>
      </c>
      <c r="AU22" s="85" t="s">
        <v>36</v>
      </c>
      <c r="AV22" s="85" t="s">
        <v>133</v>
      </c>
      <c r="AW22" s="85" t="s">
        <v>133</v>
      </c>
      <c r="AX22" s="85" t="s">
        <v>133</v>
      </c>
      <c r="AY22" s="85" t="s">
        <v>133</v>
      </c>
      <c r="AZ22" s="85" t="s">
        <v>133</v>
      </c>
      <c r="BA22" s="85" t="s">
        <v>133</v>
      </c>
      <c r="BB22" s="85" t="s">
        <v>133</v>
      </c>
      <c r="BC22" s="205" t="s">
        <v>395</v>
      </c>
      <c r="BD22" s="205" t="s">
        <v>395</v>
      </c>
      <c r="BE22" s="205" t="s">
        <v>395</v>
      </c>
      <c r="BF22" s="205" t="s">
        <v>395</v>
      </c>
      <c r="BG22" s="205" t="s">
        <v>395</v>
      </c>
      <c r="BH22" s="205" t="s">
        <v>395</v>
      </c>
      <c r="BI22" s="205" t="s">
        <v>395</v>
      </c>
      <c r="BJ22" s="205" t="s">
        <v>395</v>
      </c>
      <c r="BK22" s="205" t="s">
        <v>395</v>
      </c>
      <c r="BL22" s="205" t="s">
        <v>395</v>
      </c>
      <c r="BM22" s="205" t="s">
        <v>395</v>
      </c>
      <c r="BN22" s="182">
        <v>86</v>
      </c>
      <c r="BO22" s="205" t="s">
        <v>395</v>
      </c>
      <c r="BP22" s="205" t="s">
        <v>395</v>
      </c>
      <c r="BQ22" s="205" t="s">
        <v>395</v>
      </c>
      <c r="BR22" s="205" t="s">
        <v>395</v>
      </c>
      <c r="BS22" s="205" t="s">
        <v>395</v>
      </c>
      <c r="BT22" s="205" t="s">
        <v>395</v>
      </c>
      <c r="BU22" s="205" t="s">
        <v>395</v>
      </c>
      <c r="BV22" s="205" t="s">
        <v>395</v>
      </c>
      <c r="BW22" s="205" t="s">
        <v>395</v>
      </c>
      <c r="BX22" s="205" t="s">
        <v>395</v>
      </c>
      <c r="BY22" s="205" t="s">
        <v>395</v>
      </c>
      <c r="BZ22" s="205" t="s">
        <v>395</v>
      </c>
      <c r="CA22" s="205" t="s">
        <v>395</v>
      </c>
      <c r="CB22" s="205" t="s">
        <v>395</v>
      </c>
      <c r="CC22" s="205" t="s">
        <v>395</v>
      </c>
      <c r="CD22" s="205" t="s">
        <v>395</v>
      </c>
      <c r="CE22" s="205" t="s">
        <v>395</v>
      </c>
      <c r="CF22" s="205" t="s">
        <v>395</v>
      </c>
      <c r="CG22" s="205" t="s">
        <v>395</v>
      </c>
      <c r="CH22" s="205" t="s">
        <v>395</v>
      </c>
      <c r="CI22" s="263" t="s">
        <v>395</v>
      </c>
      <c r="CJ22" s="263" t="s">
        <v>395</v>
      </c>
      <c r="CK22" s="263" t="s">
        <v>395</v>
      </c>
      <c r="CL22" s="263" t="s">
        <v>395</v>
      </c>
      <c r="CM22" s="263" t="s">
        <v>395</v>
      </c>
      <c r="CN22" s="263" t="s">
        <v>395</v>
      </c>
      <c r="CO22" s="263" t="s">
        <v>395</v>
      </c>
      <c r="CP22" s="263" t="s">
        <v>395</v>
      </c>
      <c r="CQ22" s="263" t="s">
        <v>395</v>
      </c>
      <c r="CR22" s="263" t="s">
        <v>395</v>
      </c>
      <c r="CS22" s="263" t="s">
        <v>395</v>
      </c>
      <c r="CT22" s="263" t="s">
        <v>395</v>
      </c>
      <c r="CU22" s="263" t="s">
        <v>395</v>
      </c>
      <c r="CV22" s="263" t="s">
        <v>395</v>
      </c>
      <c r="CW22" s="263" t="s">
        <v>395</v>
      </c>
      <c r="CX22" s="263" t="s">
        <v>395</v>
      </c>
      <c r="CY22" s="263" t="s">
        <v>395</v>
      </c>
    </row>
    <row r="23" spans="1:103" s="204" customFormat="1" x14ac:dyDescent="0.3">
      <c r="A23" s="235" t="s">
        <v>25</v>
      </c>
      <c r="B23" s="179" t="s">
        <v>25</v>
      </c>
      <c r="C23" s="154" t="s">
        <v>20</v>
      </c>
      <c r="D23" s="154"/>
      <c r="E23" s="154"/>
      <c r="F23" s="154"/>
      <c r="G23" s="219">
        <v>45497</v>
      </c>
      <c r="H23" s="204">
        <v>2024</v>
      </c>
      <c r="I23" s="75" t="s">
        <v>33</v>
      </c>
      <c r="J23" s="75">
        <v>10</v>
      </c>
      <c r="K23" s="212">
        <v>0.859747255023808</v>
      </c>
      <c r="L23" s="24" t="s">
        <v>394</v>
      </c>
      <c r="M23" s="260">
        <v>1.6E-2</v>
      </c>
      <c r="N23" s="182">
        <v>4.5999999999999999E-2</v>
      </c>
      <c r="O23" s="186">
        <v>0.9</v>
      </c>
      <c r="P23" s="182">
        <v>0.66</v>
      </c>
      <c r="Q23" s="182">
        <v>3.3</v>
      </c>
      <c r="R23" s="182">
        <v>2.8</v>
      </c>
      <c r="S23" s="182">
        <v>1.1000000000000001</v>
      </c>
      <c r="T23" s="183">
        <v>8.8219999999999992</v>
      </c>
      <c r="U23" s="84">
        <f t="shared" si="2"/>
        <v>47.467438554217765</v>
      </c>
      <c r="V23" s="205" t="s">
        <v>40</v>
      </c>
      <c r="W23" s="266">
        <v>0.08</v>
      </c>
      <c r="X23" s="205">
        <v>4.1000000000000002E-2</v>
      </c>
      <c r="Y23" s="205">
        <v>6.6000000000000003E-2</v>
      </c>
      <c r="Z23" s="205" t="s">
        <v>40</v>
      </c>
      <c r="AA23" s="261">
        <v>9.7999999999999997E-3</v>
      </c>
      <c r="AB23" s="205" t="s">
        <v>40</v>
      </c>
      <c r="AC23" s="81" t="s">
        <v>373</v>
      </c>
      <c r="AD23" s="228">
        <v>0.2</v>
      </c>
      <c r="AE23" s="205">
        <f t="shared" si="0"/>
        <v>0.19680000000000003</v>
      </c>
      <c r="AF23" s="81">
        <v>7.0999999999999994E-2</v>
      </c>
      <c r="AG23" s="205">
        <f t="shared" si="1"/>
        <v>0.41291204819277888</v>
      </c>
      <c r="AH23" s="84">
        <v>28.504732965009207</v>
      </c>
      <c r="AI23" s="85" t="s">
        <v>133</v>
      </c>
      <c r="AJ23" s="85" t="s">
        <v>133</v>
      </c>
      <c r="AK23" s="85" t="s">
        <v>133</v>
      </c>
      <c r="AL23" s="85" t="s">
        <v>133</v>
      </c>
      <c r="AM23" s="262">
        <v>7.3738489871086554E-2</v>
      </c>
      <c r="AN23" s="85">
        <v>0.82360957642725596</v>
      </c>
      <c r="AO23" s="264">
        <v>0.99104972375690603</v>
      </c>
      <c r="AP23" s="85" t="s">
        <v>133</v>
      </c>
      <c r="AQ23" s="85">
        <v>0.40381215469613257</v>
      </c>
      <c r="AR23" s="85" t="s">
        <v>133</v>
      </c>
      <c r="AS23" s="85">
        <v>0.24878453038674031</v>
      </c>
      <c r="AT23" s="262">
        <v>6.8342541436464094E-2</v>
      </c>
      <c r="AU23" s="85" t="s">
        <v>36</v>
      </c>
      <c r="AV23" s="85" t="s">
        <v>133</v>
      </c>
      <c r="AW23" s="85" t="s">
        <v>133</v>
      </c>
      <c r="AX23" s="85" t="s">
        <v>133</v>
      </c>
      <c r="AY23" s="85" t="s">
        <v>133</v>
      </c>
      <c r="AZ23" s="85" t="s">
        <v>133</v>
      </c>
      <c r="BA23" s="85" t="s">
        <v>133</v>
      </c>
      <c r="BB23" s="85" t="s">
        <v>133</v>
      </c>
      <c r="BC23" s="205" t="s">
        <v>395</v>
      </c>
      <c r="BD23" s="205" t="s">
        <v>395</v>
      </c>
      <c r="BE23" s="205" t="s">
        <v>395</v>
      </c>
      <c r="BF23" s="205" t="s">
        <v>395</v>
      </c>
      <c r="BG23" s="205" t="s">
        <v>395</v>
      </c>
      <c r="BH23" s="205" t="s">
        <v>395</v>
      </c>
      <c r="BI23" s="205" t="s">
        <v>395</v>
      </c>
      <c r="BJ23" s="205" t="s">
        <v>395</v>
      </c>
      <c r="BK23" s="205" t="s">
        <v>395</v>
      </c>
      <c r="BL23" s="205" t="s">
        <v>395</v>
      </c>
      <c r="BM23" s="205" t="s">
        <v>395</v>
      </c>
      <c r="BN23" s="182">
        <v>77</v>
      </c>
      <c r="BO23" s="205" t="s">
        <v>395</v>
      </c>
      <c r="BP23" s="205" t="s">
        <v>395</v>
      </c>
      <c r="BQ23" s="205" t="s">
        <v>395</v>
      </c>
      <c r="BR23" s="205" t="s">
        <v>395</v>
      </c>
      <c r="BS23" s="205" t="s">
        <v>395</v>
      </c>
      <c r="BT23" s="205" t="s">
        <v>395</v>
      </c>
      <c r="BU23" s="205" t="s">
        <v>395</v>
      </c>
      <c r="BV23" s="205" t="s">
        <v>395</v>
      </c>
      <c r="BW23" s="205" t="s">
        <v>395</v>
      </c>
      <c r="BX23" s="205" t="s">
        <v>395</v>
      </c>
      <c r="BY23" s="205" t="s">
        <v>395</v>
      </c>
      <c r="BZ23" s="205" t="s">
        <v>395</v>
      </c>
      <c r="CA23" s="205" t="s">
        <v>395</v>
      </c>
      <c r="CB23" s="205" t="s">
        <v>395</v>
      </c>
      <c r="CC23" s="205" t="s">
        <v>395</v>
      </c>
      <c r="CD23" s="205" t="s">
        <v>395</v>
      </c>
      <c r="CE23" s="205" t="s">
        <v>395</v>
      </c>
      <c r="CF23" s="205" t="s">
        <v>395</v>
      </c>
      <c r="CG23" s="205" t="s">
        <v>395</v>
      </c>
      <c r="CH23" s="205" t="s">
        <v>395</v>
      </c>
      <c r="CI23" s="263" t="s">
        <v>395</v>
      </c>
      <c r="CJ23" s="263" t="s">
        <v>395</v>
      </c>
      <c r="CK23" s="263" t="s">
        <v>395</v>
      </c>
      <c r="CL23" s="263" t="s">
        <v>395</v>
      </c>
      <c r="CM23" s="263" t="s">
        <v>395</v>
      </c>
      <c r="CN23" s="263" t="s">
        <v>395</v>
      </c>
      <c r="CO23" s="263" t="s">
        <v>395</v>
      </c>
      <c r="CP23" s="263" t="s">
        <v>395</v>
      </c>
      <c r="CQ23" s="263" t="s">
        <v>395</v>
      </c>
      <c r="CR23" s="263" t="s">
        <v>395</v>
      </c>
      <c r="CS23" s="263" t="s">
        <v>395</v>
      </c>
      <c r="CT23" s="263" t="s">
        <v>395</v>
      </c>
      <c r="CU23" s="263" t="s">
        <v>395</v>
      </c>
      <c r="CV23" s="263" t="s">
        <v>395</v>
      </c>
      <c r="CW23" s="263" t="s">
        <v>395</v>
      </c>
      <c r="CX23" s="263" t="s">
        <v>395</v>
      </c>
      <c r="CY23" s="263" t="s">
        <v>395</v>
      </c>
    </row>
    <row r="24" spans="1:103" x14ac:dyDescent="0.3">
      <c r="A24" s="153" t="s">
        <v>5</v>
      </c>
      <c r="B24" s="153" t="s">
        <v>5</v>
      </c>
      <c r="C24" s="205" t="s">
        <v>20</v>
      </c>
      <c r="D24" s="153"/>
      <c r="E24" s="154"/>
      <c r="F24" s="154"/>
      <c r="G24" s="245">
        <v>45169</v>
      </c>
      <c r="H24" s="1">
        <v>2023</v>
      </c>
      <c r="I24" s="75" t="s">
        <v>33</v>
      </c>
      <c r="J24" s="75">
        <v>10</v>
      </c>
      <c r="K24" s="155">
        <v>0.61740890688266237</v>
      </c>
      <c r="L24" s="24" t="s">
        <v>394</v>
      </c>
      <c r="M24" s="56">
        <v>4.8127812690046623</v>
      </c>
      <c r="N24" s="56">
        <v>7.8949777011960274</v>
      </c>
      <c r="O24" s="55">
        <v>14.68236874113116</v>
      </c>
      <c r="P24" s="55">
        <v>10.639083721873099</v>
      </c>
      <c r="Q24" s="55">
        <v>15.289762821812285</v>
      </c>
      <c r="R24" s="55">
        <v>15.198155280762213</v>
      </c>
      <c r="S24" s="56">
        <v>2.9353334684776002</v>
      </c>
      <c r="T24" s="55">
        <v>71.452463004257041</v>
      </c>
      <c r="U24" s="5">
        <f>SUM(M24,N24,O24,Q24,R24,S24)*(5/K24)</f>
        <v>492.48867812285573</v>
      </c>
      <c r="V24" s="217" t="s">
        <v>206</v>
      </c>
      <c r="W24" s="6">
        <v>0.16121610489074714</v>
      </c>
      <c r="X24" s="6">
        <v>8.4990663233436833E-2</v>
      </c>
      <c r="Y24" s="6">
        <v>0.10614650769578192</v>
      </c>
      <c r="Z24" s="217">
        <v>1.9088322603970226E-2</v>
      </c>
      <c r="AA24" s="217">
        <v>2.4511806073074877E-2</v>
      </c>
      <c r="AB24" s="217">
        <v>3.0588227273083857E-2</v>
      </c>
      <c r="AC24" s="217" t="s">
        <v>207</v>
      </c>
      <c r="AD24" s="6">
        <v>0.42654163177009485</v>
      </c>
      <c r="AE24" s="24">
        <f t="shared" si="0"/>
        <v>0.40745330916612466</v>
      </c>
      <c r="AF24" s="153" t="s">
        <v>395</v>
      </c>
      <c r="AG24" s="153" t="s">
        <v>395</v>
      </c>
      <c r="AH24" s="86">
        <v>9.5043034320538826</v>
      </c>
      <c r="AI24" s="85" t="s">
        <v>208</v>
      </c>
      <c r="AJ24" s="85">
        <v>0.33969492854342626</v>
      </c>
      <c r="AK24" s="85" t="s">
        <v>209</v>
      </c>
      <c r="AL24" s="85" t="s">
        <v>133</v>
      </c>
      <c r="AM24" s="85" t="s">
        <v>133</v>
      </c>
      <c r="AN24" s="85">
        <v>0.65372964111336807</v>
      </c>
      <c r="AO24" s="85">
        <v>0.19667486368010259</v>
      </c>
      <c r="AP24" s="85" t="s">
        <v>395</v>
      </c>
      <c r="AQ24" s="85">
        <v>0.66652410991125821</v>
      </c>
      <c r="AR24" s="85" t="s">
        <v>133</v>
      </c>
      <c r="AS24" s="86">
        <v>1.5831996863751376</v>
      </c>
      <c r="AT24" s="85">
        <v>0.90936954274920667</v>
      </c>
      <c r="AU24" s="85">
        <v>0.22949855661285143</v>
      </c>
      <c r="AV24" s="85" t="s">
        <v>133</v>
      </c>
      <c r="AW24" s="85">
        <v>5.7735485940339983E-2</v>
      </c>
      <c r="AX24" s="85" t="s">
        <v>133</v>
      </c>
      <c r="AY24" s="85" t="s">
        <v>133</v>
      </c>
      <c r="AZ24" s="85" t="s">
        <v>133</v>
      </c>
      <c r="BA24" s="85" t="s">
        <v>133</v>
      </c>
      <c r="BB24" s="85" t="s">
        <v>133</v>
      </c>
      <c r="BC24" s="205" t="s">
        <v>395</v>
      </c>
      <c r="BD24" s="205" t="s">
        <v>395</v>
      </c>
      <c r="BE24" s="205" t="s">
        <v>395</v>
      </c>
      <c r="BF24" s="205" t="s">
        <v>395</v>
      </c>
      <c r="BG24" s="205" t="s">
        <v>395</v>
      </c>
      <c r="BH24" s="205" t="s">
        <v>395</v>
      </c>
      <c r="BI24" s="205" t="s">
        <v>395</v>
      </c>
      <c r="BJ24" s="219" t="s">
        <v>395</v>
      </c>
      <c r="BK24" s="247" t="s">
        <v>395</v>
      </c>
      <c r="BL24" s="153" t="s">
        <v>395</v>
      </c>
      <c r="BM24" s="156" t="s">
        <v>395</v>
      </c>
      <c r="BN24" s="182">
        <v>73</v>
      </c>
      <c r="BO24" s="5" t="s">
        <v>395</v>
      </c>
      <c r="BP24" s="5" t="s">
        <v>395</v>
      </c>
      <c r="BQ24" s="5" t="s">
        <v>395</v>
      </c>
      <c r="BR24" s="5" t="s">
        <v>395</v>
      </c>
      <c r="BS24" s="5" t="s">
        <v>395</v>
      </c>
      <c r="BT24" s="5" t="s">
        <v>395</v>
      </c>
      <c r="BU24" s="5" t="s">
        <v>395</v>
      </c>
      <c r="BV24" s="5" t="s">
        <v>395</v>
      </c>
      <c r="BW24" s="5" t="s">
        <v>395</v>
      </c>
      <c r="BX24" s="5" t="s">
        <v>395</v>
      </c>
      <c r="BY24" s="5" t="s">
        <v>395</v>
      </c>
      <c r="BZ24" s="5" t="s">
        <v>395</v>
      </c>
      <c r="CA24" s="5" t="s">
        <v>395</v>
      </c>
      <c r="CB24" s="5" t="s">
        <v>395</v>
      </c>
      <c r="CC24" s="5" t="s">
        <v>395</v>
      </c>
      <c r="CD24" s="5" t="s">
        <v>395</v>
      </c>
      <c r="CE24" s="5" t="s">
        <v>395</v>
      </c>
      <c r="CF24" s="5" t="s">
        <v>395</v>
      </c>
      <c r="CG24" s="5" t="s">
        <v>395</v>
      </c>
      <c r="CH24" s="5" t="s">
        <v>395</v>
      </c>
      <c r="CI24" s="220" t="s">
        <v>395</v>
      </c>
      <c r="CJ24" s="220" t="s">
        <v>395</v>
      </c>
      <c r="CK24" s="220" t="s">
        <v>395</v>
      </c>
      <c r="CL24" s="220" t="s">
        <v>395</v>
      </c>
      <c r="CM24" s="220" t="s">
        <v>395</v>
      </c>
      <c r="CN24" s="220" t="s">
        <v>395</v>
      </c>
      <c r="CO24" s="220" t="s">
        <v>395</v>
      </c>
      <c r="CP24" s="220" t="s">
        <v>395</v>
      </c>
      <c r="CQ24" s="57" t="s">
        <v>395</v>
      </c>
      <c r="CR24" s="57" t="s">
        <v>395</v>
      </c>
      <c r="CS24" s="57" t="s">
        <v>395</v>
      </c>
      <c r="CT24" s="57" t="s">
        <v>395</v>
      </c>
      <c r="CU24" s="57" t="s">
        <v>395</v>
      </c>
      <c r="CV24" s="57" t="s">
        <v>395</v>
      </c>
      <c r="CW24" s="57" t="s">
        <v>395</v>
      </c>
      <c r="CX24" s="57" t="s">
        <v>395</v>
      </c>
      <c r="CY24" s="59" t="s">
        <v>395</v>
      </c>
    </row>
    <row r="25" spans="1:103" x14ac:dyDescent="0.3">
      <c r="A25" s="153" t="s">
        <v>167</v>
      </c>
      <c r="B25" s="153" t="s">
        <v>167</v>
      </c>
      <c r="C25" s="205" t="s">
        <v>20</v>
      </c>
      <c r="D25" s="153"/>
      <c r="E25" s="154"/>
      <c r="F25" s="154"/>
      <c r="G25" s="245">
        <v>45174</v>
      </c>
      <c r="H25" s="1">
        <v>2023</v>
      </c>
      <c r="I25" s="75" t="s">
        <v>33</v>
      </c>
      <c r="J25" s="75">
        <v>10</v>
      </c>
      <c r="K25" s="155">
        <v>0.56852485409542486</v>
      </c>
      <c r="L25" s="24" t="s">
        <v>394</v>
      </c>
      <c r="M25" s="91">
        <v>0.55535444947209645</v>
      </c>
      <c r="N25" s="56">
        <v>1.4680693815987933</v>
      </c>
      <c r="O25" s="56">
        <v>5.8920412267471081</v>
      </c>
      <c r="P25" s="56">
        <v>4.8552941176470581</v>
      </c>
      <c r="Q25" s="56">
        <v>9.2394067370537964</v>
      </c>
      <c r="R25" s="56">
        <v>8.4134942182001016</v>
      </c>
      <c r="S25" s="56">
        <v>1.8209049773755654</v>
      </c>
      <c r="T25" s="55">
        <v>32.244565108094513</v>
      </c>
      <c r="U25" s="5">
        <f t="shared" ref="U25:U48" si="3">SUM(M25,N25,O25,Q25,R25,S25)*(5/K25)</f>
        <v>240.88015495845207</v>
      </c>
      <c r="V25" s="217" t="s">
        <v>210</v>
      </c>
      <c r="W25" s="6">
        <v>0.11514735685776428</v>
      </c>
      <c r="X25" s="217">
        <v>5.8818646140047282E-2</v>
      </c>
      <c r="Y25" s="217">
        <v>2.1062693854441143E-2</v>
      </c>
      <c r="Z25" s="217">
        <v>1.7454497522672658E-2</v>
      </c>
      <c r="AA25" s="217">
        <v>1.7526688127611819E-2</v>
      </c>
      <c r="AB25" s="217">
        <v>1.5507586635324781E-2</v>
      </c>
      <c r="AC25" s="217" t="s">
        <v>211</v>
      </c>
      <c r="AD25" s="6">
        <v>0.24551746913786199</v>
      </c>
      <c r="AE25" s="24">
        <f t="shared" ref="AE25:AE47" si="4">SUM(V25,W25,Y25,X25,AB25,AA25)</f>
        <v>0.22806297161518932</v>
      </c>
      <c r="AF25" s="153" t="s">
        <v>395</v>
      </c>
      <c r="AG25" s="153" t="s">
        <v>395</v>
      </c>
      <c r="AH25" s="86">
        <v>4.1781765937758726</v>
      </c>
      <c r="AI25" s="85" t="s">
        <v>208</v>
      </c>
      <c r="AJ25" s="85" t="s">
        <v>36</v>
      </c>
      <c r="AK25" s="85" t="s">
        <v>209</v>
      </c>
      <c r="AL25" s="85" t="s">
        <v>133</v>
      </c>
      <c r="AM25" s="85" t="s">
        <v>133</v>
      </c>
      <c r="AN25" s="85">
        <v>0.2692089157291514</v>
      </c>
      <c r="AO25" s="85">
        <v>0.12287537135343107</v>
      </c>
      <c r="AP25" s="85" t="s">
        <v>395</v>
      </c>
      <c r="AQ25" s="85">
        <v>0.2948911508303706</v>
      </c>
      <c r="AR25" s="85" t="s">
        <v>133</v>
      </c>
      <c r="AS25" s="85">
        <v>0.39849672884300069</v>
      </c>
      <c r="AT25" s="85">
        <v>0.22703290637835027</v>
      </c>
      <c r="AU25" s="85" t="s">
        <v>212</v>
      </c>
      <c r="AV25" s="85" t="s">
        <v>133</v>
      </c>
      <c r="AW25" s="85" t="s">
        <v>133</v>
      </c>
      <c r="AX25" s="85" t="s">
        <v>133</v>
      </c>
      <c r="AY25" s="85" t="s">
        <v>133</v>
      </c>
      <c r="AZ25" s="85" t="s">
        <v>133</v>
      </c>
      <c r="BA25" s="85" t="s">
        <v>133</v>
      </c>
      <c r="BB25" s="85" t="s">
        <v>133</v>
      </c>
      <c r="BC25" s="205" t="s">
        <v>395</v>
      </c>
      <c r="BD25" s="205" t="s">
        <v>395</v>
      </c>
      <c r="BE25" s="205" t="s">
        <v>395</v>
      </c>
      <c r="BF25" s="205" t="s">
        <v>395</v>
      </c>
      <c r="BG25" s="205" t="s">
        <v>395</v>
      </c>
      <c r="BH25" s="205" t="s">
        <v>395</v>
      </c>
      <c r="BI25" s="205" t="s">
        <v>395</v>
      </c>
      <c r="BJ25" s="219" t="s">
        <v>395</v>
      </c>
      <c r="BK25" s="221" t="s">
        <v>395</v>
      </c>
      <c r="BL25" s="153" t="s">
        <v>395</v>
      </c>
      <c r="BM25" s="156" t="s">
        <v>395</v>
      </c>
      <c r="BN25" s="182">
        <v>38</v>
      </c>
      <c r="BO25" s="5" t="s">
        <v>395</v>
      </c>
      <c r="BP25" s="5" t="s">
        <v>395</v>
      </c>
      <c r="BQ25" s="5" t="s">
        <v>395</v>
      </c>
      <c r="BR25" s="5" t="s">
        <v>395</v>
      </c>
      <c r="BS25" s="5" t="s">
        <v>395</v>
      </c>
      <c r="BT25" s="5" t="s">
        <v>395</v>
      </c>
      <c r="BU25" s="5" t="s">
        <v>395</v>
      </c>
      <c r="BV25" s="5" t="s">
        <v>395</v>
      </c>
      <c r="BW25" s="5" t="s">
        <v>395</v>
      </c>
      <c r="BX25" s="5" t="s">
        <v>395</v>
      </c>
      <c r="BY25" s="5" t="s">
        <v>395</v>
      </c>
      <c r="BZ25" s="5" t="s">
        <v>395</v>
      </c>
      <c r="CA25" s="5" t="s">
        <v>395</v>
      </c>
      <c r="CB25" s="5" t="s">
        <v>395</v>
      </c>
      <c r="CC25" s="5" t="s">
        <v>395</v>
      </c>
      <c r="CD25" s="5" t="s">
        <v>395</v>
      </c>
      <c r="CE25" s="5" t="s">
        <v>395</v>
      </c>
      <c r="CF25" s="5" t="s">
        <v>395</v>
      </c>
      <c r="CG25" s="5" t="s">
        <v>395</v>
      </c>
      <c r="CH25" s="5" t="s">
        <v>395</v>
      </c>
      <c r="CI25" s="220" t="s">
        <v>395</v>
      </c>
      <c r="CJ25" s="220" t="s">
        <v>395</v>
      </c>
      <c r="CK25" s="220" t="s">
        <v>395</v>
      </c>
      <c r="CL25" s="220" t="s">
        <v>395</v>
      </c>
      <c r="CM25" s="220" t="s">
        <v>395</v>
      </c>
      <c r="CN25" s="220" t="s">
        <v>395</v>
      </c>
      <c r="CO25" s="220" t="s">
        <v>395</v>
      </c>
      <c r="CP25" s="220" t="s">
        <v>395</v>
      </c>
      <c r="CQ25" s="57" t="s">
        <v>395</v>
      </c>
      <c r="CR25" s="57" t="s">
        <v>395</v>
      </c>
      <c r="CS25" s="57" t="s">
        <v>395</v>
      </c>
      <c r="CT25" s="57" t="s">
        <v>395</v>
      </c>
      <c r="CU25" s="57" t="s">
        <v>395</v>
      </c>
      <c r="CV25" s="57" t="s">
        <v>395</v>
      </c>
      <c r="CW25" s="57" t="s">
        <v>395</v>
      </c>
      <c r="CX25" s="57" t="s">
        <v>395</v>
      </c>
      <c r="CY25" s="59" t="s">
        <v>395</v>
      </c>
    </row>
    <row r="26" spans="1:103" x14ac:dyDescent="0.3">
      <c r="A26" s="153" t="s">
        <v>23</v>
      </c>
      <c r="B26" s="153" t="s">
        <v>23</v>
      </c>
      <c r="C26" s="205" t="s">
        <v>20</v>
      </c>
      <c r="D26" s="153"/>
      <c r="E26" s="154"/>
      <c r="F26" s="154"/>
      <c r="G26" s="245">
        <v>45169</v>
      </c>
      <c r="H26" s="1">
        <v>2023</v>
      </c>
      <c r="I26" s="75" t="s">
        <v>33</v>
      </c>
      <c r="J26" s="75">
        <v>10</v>
      </c>
      <c r="K26" s="155">
        <v>0.56772908366536023</v>
      </c>
      <c r="L26" s="24" t="s">
        <v>394</v>
      </c>
      <c r="M26" s="91">
        <v>0.20016655236602329</v>
      </c>
      <c r="N26" s="56">
        <v>1.168085627510532</v>
      </c>
      <c r="O26" s="56">
        <v>4.4648329577740764</v>
      </c>
      <c r="P26" s="56">
        <v>3.3233957088272752</v>
      </c>
      <c r="Q26" s="56">
        <v>8.3775546193788557</v>
      </c>
      <c r="R26" s="56">
        <v>7.7184481238365823</v>
      </c>
      <c r="S26" s="56">
        <v>2.0277358675418826</v>
      </c>
      <c r="T26" s="55">
        <v>27.280219457235223</v>
      </c>
      <c r="U26" s="5">
        <f t="shared" si="3"/>
        <v>210.9881670473743</v>
      </c>
      <c r="V26" s="217" t="s">
        <v>213</v>
      </c>
      <c r="W26" s="217">
        <v>4.1362112151506883E-2</v>
      </c>
      <c r="X26" s="217">
        <v>2.8783740535993703E-2</v>
      </c>
      <c r="Y26" s="217">
        <v>1.7120965943289226E-2</v>
      </c>
      <c r="Z26" s="217">
        <v>2.2125998443970289E-2</v>
      </c>
      <c r="AA26" s="217" t="s">
        <v>214</v>
      </c>
      <c r="AB26" s="217" t="s">
        <v>213</v>
      </c>
      <c r="AC26" s="217" t="s">
        <v>215</v>
      </c>
      <c r="AD26" s="6">
        <v>0.1093928170747601</v>
      </c>
      <c r="AE26" s="24">
        <f t="shared" si="4"/>
        <v>8.7266818630789805E-2</v>
      </c>
      <c r="AF26" s="153" t="s">
        <v>395</v>
      </c>
      <c r="AG26" s="153" t="s">
        <v>395</v>
      </c>
      <c r="AH26" s="84">
        <v>13.485258489713795</v>
      </c>
      <c r="AI26" s="85" t="s">
        <v>208</v>
      </c>
      <c r="AJ26" s="85" t="s">
        <v>36</v>
      </c>
      <c r="AK26" s="85" t="s">
        <v>209</v>
      </c>
      <c r="AL26" s="85" t="s">
        <v>133</v>
      </c>
      <c r="AM26" s="85" t="s">
        <v>133</v>
      </c>
      <c r="AN26" s="86">
        <v>1.0733653622414763</v>
      </c>
      <c r="AO26" s="85">
        <v>0.10807703363035358</v>
      </c>
      <c r="AP26" s="85" t="s">
        <v>395</v>
      </c>
      <c r="AQ26" s="85">
        <v>0.78409230895577553</v>
      </c>
      <c r="AR26" s="85" t="s">
        <v>133</v>
      </c>
      <c r="AS26" s="85">
        <v>0.94626260967163534</v>
      </c>
      <c r="AT26" s="85">
        <v>0.4316785064126254</v>
      </c>
      <c r="AU26" s="85">
        <v>0.33018519278938946</v>
      </c>
      <c r="AV26" s="85" t="s">
        <v>133</v>
      </c>
      <c r="AW26" s="85" t="s">
        <v>133</v>
      </c>
      <c r="AX26" s="85" t="s">
        <v>133</v>
      </c>
      <c r="AY26" s="85" t="s">
        <v>133</v>
      </c>
      <c r="AZ26" s="85" t="s">
        <v>133</v>
      </c>
      <c r="BA26" s="85" t="s">
        <v>133</v>
      </c>
      <c r="BB26" s="85" t="s">
        <v>133</v>
      </c>
      <c r="BC26" s="205" t="s">
        <v>395</v>
      </c>
      <c r="BD26" s="205" t="s">
        <v>395</v>
      </c>
      <c r="BE26" s="205" t="s">
        <v>395</v>
      </c>
      <c r="BF26" s="205" t="s">
        <v>395</v>
      </c>
      <c r="BG26" s="205" t="s">
        <v>395</v>
      </c>
      <c r="BH26" s="205" t="s">
        <v>395</v>
      </c>
      <c r="BI26" s="205" t="s">
        <v>395</v>
      </c>
      <c r="BJ26" s="219" t="s">
        <v>395</v>
      </c>
      <c r="BK26" s="223" t="s">
        <v>395</v>
      </c>
      <c r="BL26" s="153" t="s">
        <v>395</v>
      </c>
      <c r="BM26" s="156" t="s">
        <v>395</v>
      </c>
      <c r="BN26" s="182">
        <v>370</v>
      </c>
      <c r="BO26" s="5" t="s">
        <v>395</v>
      </c>
      <c r="BP26" s="5" t="s">
        <v>395</v>
      </c>
      <c r="BQ26" s="5" t="s">
        <v>395</v>
      </c>
      <c r="BR26" s="5" t="s">
        <v>395</v>
      </c>
      <c r="BS26" s="5" t="s">
        <v>395</v>
      </c>
      <c r="BT26" s="5" t="s">
        <v>395</v>
      </c>
      <c r="BU26" s="5" t="s">
        <v>395</v>
      </c>
      <c r="BV26" s="5" t="s">
        <v>395</v>
      </c>
      <c r="BW26" s="5" t="s">
        <v>395</v>
      </c>
      <c r="BX26" s="5" t="s">
        <v>395</v>
      </c>
      <c r="BY26" s="5" t="s">
        <v>395</v>
      </c>
      <c r="BZ26" s="5" t="s">
        <v>395</v>
      </c>
      <c r="CA26" s="5" t="s">
        <v>395</v>
      </c>
      <c r="CB26" s="5" t="s">
        <v>395</v>
      </c>
      <c r="CC26" s="5" t="s">
        <v>395</v>
      </c>
      <c r="CD26" s="5" t="s">
        <v>395</v>
      </c>
      <c r="CE26" s="5" t="s">
        <v>395</v>
      </c>
      <c r="CF26" s="5" t="s">
        <v>395</v>
      </c>
      <c r="CG26" s="5" t="s">
        <v>395</v>
      </c>
      <c r="CH26" s="5" t="s">
        <v>395</v>
      </c>
      <c r="CI26" s="220" t="s">
        <v>395</v>
      </c>
      <c r="CJ26" s="220" t="s">
        <v>395</v>
      </c>
      <c r="CK26" s="220" t="s">
        <v>395</v>
      </c>
      <c r="CL26" s="220" t="s">
        <v>395</v>
      </c>
      <c r="CM26" s="220" t="s">
        <v>395</v>
      </c>
      <c r="CN26" s="220" t="s">
        <v>395</v>
      </c>
      <c r="CO26" s="220" t="s">
        <v>395</v>
      </c>
      <c r="CP26" s="220" t="s">
        <v>395</v>
      </c>
      <c r="CQ26" s="57" t="s">
        <v>395</v>
      </c>
      <c r="CR26" s="57" t="s">
        <v>395</v>
      </c>
      <c r="CS26" s="57" t="s">
        <v>395</v>
      </c>
      <c r="CT26" s="57" t="s">
        <v>395</v>
      </c>
      <c r="CU26" s="57" t="s">
        <v>395</v>
      </c>
      <c r="CV26" s="57" t="s">
        <v>395</v>
      </c>
      <c r="CW26" s="57" t="s">
        <v>395</v>
      </c>
      <c r="CX26" s="57" t="s">
        <v>395</v>
      </c>
      <c r="CY26" s="59" t="s">
        <v>395</v>
      </c>
    </row>
    <row r="27" spans="1:103" x14ac:dyDescent="0.3">
      <c r="A27" s="153" t="s">
        <v>26</v>
      </c>
      <c r="B27" s="153" t="s">
        <v>26</v>
      </c>
      <c r="C27" s="205" t="s">
        <v>20</v>
      </c>
      <c r="D27" s="153"/>
      <c r="E27" s="154"/>
      <c r="F27" s="154"/>
      <c r="G27" s="245">
        <v>45177</v>
      </c>
      <c r="H27" s="1">
        <v>2023</v>
      </c>
      <c r="I27" s="75" t="s">
        <v>33</v>
      </c>
      <c r="J27" s="75">
        <v>10</v>
      </c>
      <c r="K27" s="155">
        <v>0.56687067322166473</v>
      </c>
      <c r="L27" s="24" t="s">
        <v>394</v>
      </c>
      <c r="M27" s="224">
        <v>2.3991955756661638E-2</v>
      </c>
      <c r="N27" s="224">
        <v>3.6596279537456006E-2</v>
      </c>
      <c r="O27" s="91">
        <v>0.17120663650075416</v>
      </c>
      <c r="P27" s="91">
        <v>0.19407742584213172</v>
      </c>
      <c r="Q27" s="55">
        <v>0.56000000000000005</v>
      </c>
      <c r="R27" s="55">
        <v>0.51</v>
      </c>
      <c r="S27" s="91">
        <v>0.17447963800904978</v>
      </c>
      <c r="T27" s="55">
        <v>1.7</v>
      </c>
      <c r="U27" s="5">
        <f>SUM(M27,N27,O27,Q27,R27,S27)*(5/K27)</f>
        <v>13.021263751517543</v>
      </c>
      <c r="V27" s="217" t="s">
        <v>210</v>
      </c>
      <c r="W27" s="217" t="s">
        <v>216</v>
      </c>
      <c r="X27" s="217" t="s">
        <v>216</v>
      </c>
      <c r="Y27" s="217" t="s">
        <v>217</v>
      </c>
      <c r="Z27" s="217">
        <v>1.4011993247602083E-2</v>
      </c>
      <c r="AA27" s="217" t="s">
        <v>218</v>
      </c>
      <c r="AB27" s="217" t="s">
        <v>210</v>
      </c>
      <c r="AC27" s="217" t="s">
        <v>211</v>
      </c>
      <c r="AD27" s="217">
        <v>1.4011993247602083E-2</v>
      </c>
      <c r="AE27" s="24">
        <f t="shared" si="4"/>
        <v>0</v>
      </c>
      <c r="AF27" s="153" t="s">
        <v>395</v>
      </c>
      <c r="AG27" s="153" t="s">
        <v>395</v>
      </c>
      <c r="AH27" s="85">
        <v>0.55671061162740421</v>
      </c>
      <c r="AI27" s="85" t="s">
        <v>208</v>
      </c>
      <c r="AJ27" s="85" t="s">
        <v>36</v>
      </c>
      <c r="AK27" s="85" t="s">
        <v>209</v>
      </c>
      <c r="AL27" s="85" t="s">
        <v>133</v>
      </c>
      <c r="AM27" s="85" t="s">
        <v>133</v>
      </c>
      <c r="AN27" s="85">
        <v>6.6032706577335912E-2</v>
      </c>
      <c r="AO27" s="85" t="s">
        <v>133</v>
      </c>
      <c r="AP27" s="85" t="s">
        <v>395</v>
      </c>
      <c r="AQ27" s="85" t="s">
        <v>129</v>
      </c>
      <c r="AR27" s="85" t="s">
        <v>133</v>
      </c>
      <c r="AS27" s="85" t="s">
        <v>219</v>
      </c>
      <c r="AT27" s="85" t="s">
        <v>220</v>
      </c>
      <c r="AU27" s="85" t="s">
        <v>212</v>
      </c>
      <c r="AV27" s="85" t="s">
        <v>133</v>
      </c>
      <c r="AW27" s="85" t="s">
        <v>133</v>
      </c>
      <c r="AX27" s="85" t="s">
        <v>133</v>
      </c>
      <c r="AY27" s="85" t="s">
        <v>133</v>
      </c>
      <c r="AZ27" s="85" t="s">
        <v>133</v>
      </c>
      <c r="BA27" s="85" t="s">
        <v>133</v>
      </c>
      <c r="BB27" s="85" t="s">
        <v>133</v>
      </c>
      <c r="BC27" s="205" t="s">
        <v>395</v>
      </c>
      <c r="BD27" s="205" t="s">
        <v>395</v>
      </c>
      <c r="BE27" s="205" t="s">
        <v>395</v>
      </c>
      <c r="BF27" s="205" t="s">
        <v>395</v>
      </c>
      <c r="BG27" s="205" t="s">
        <v>395</v>
      </c>
      <c r="BH27" s="205" t="s">
        <v>395</v>
      </c>
      <c r="BI27" s="205" t="s">
        <v>395</v>
      </c>
      <c r="BJ27" s="219" t="s">
        <v>395</v>
      </c>
      <c r="BK27" s="223" t="s">
        <v>395</v>
      </c>
      <c r="BL27" s="153" t="s">
        <v>395</v>
      </c>
      <c r="BM27" s="156" t="s">
        <v>395</v>
      </c>
      <c r="BN27" s="182">
        <v>41</v>
      </c>
      <c r="BO27" s="5" t="s">
        <v>395</v>
      </c>
      <c r="BP27" s="5" t="s">
        <v>395</v>
      </c>
      <c r="BQ27" s="5" t="s">
        <v>395</v>
      </c>
      <c r="BR27" s="5" t="s">
        <v>395</v>
      </c>
      <c r="BS27" s="5" t="s">
        <v>395</v>
      </c>
      <c r="BT27" s="5" t="s">
        <v>395</v>
      </c>
      <c r="BU27" s="5" t="s">
        <v>395</v>
      </c>
      <c r="BV27" s="5" t="s">
        <v>395</v>
      </c>
      <c r="BW27" s="5" t="s">
        <v>395</v>
      </c>
      <c r="BX27" s="5" t="s">
        <v>395</v>
      </c>
      <c r="BY27" s="5" t="s">
        <v>395</v>
      </c>
      <c r="BZ27" s="5" t="s">
        <v>395</v>
      </c>
      <c r="CA27" s="5" t="s">
        <v>395</v>
      </c>
      <c r="CB27" s="5" t="s">
        <v>395</v>
      </c>
      <c r="CC27" s="5" t="s">
        <v>395</v>
      </c>
      <c r="CD27" s="5" t="s">
        <v>395</v>
      </c>
      <c r="CE27" s="5" t="s">
        <v>395</v>
      </c>
      <c r="CF27" s="5" t="s">
        <v>395</v>
      </c>
      <c r="CG27" s="5" t="s">
        <v>395</v>
      </c>
      <c r="CH27" s="5" t="s">
        <v>395</v>
      </c>
      <c r="CI27" s="220" t="s">
        <v>395</v>
      </c>
      <c r="CJ27" s="220" t="s">
        <v>395</v>
      </c>
      <c r="CK27" s="220" t="s">
        <v>395</v>
      </c>
      <c r="CL27" s="220" t="s">
        <v>395</v>
      </c>
      <c r="CM27" s="220" t="s">
        <v>395</v>
      </c>
      <c r="CN27" s="220" t="s">
        <v>395</v>
      </c>
      <c r="CO27" s="220" t="s">
        <v>395</v>
      </c>
      <c r="CP27" s="220" t="s">
        <v>395</v>
      </c>
      <c r="CQ27" s="57" t="s">
        <v>395</v>
      </c>
      <c r="CR27" s="57" t="s">
        <v>395</v>
      </c>
      <c r="CS27" s="57" t="s">
        <v>395</v>
      </c>
      <c r="CT27" s="57" t="s">
        <v>395</v>
      </c>
      <c r="CU27" s="57" t="s">
        <v>395</v>
      </c>
      <c r="CV27" s="57" t="s">
        <v>395</v>
      </c>
      <c r="CW27" s="57" t="s">
        <v>395</v>
      </c>
      <c r="CX27" s="57" t="s">
        <v>395</v>
      </c>
      <c r="CY27" s="59" t="s">
        <v>395</v>
      </c>
    </row>
    <row r="28" spans="1:103" x14ac:dyDescent="0.3">
      <c r="A28" s="153" t="s">
        <v>79</v>
      </c>
      <c r="B28" s="153" t="s">
        <v>79</v>
      </c>
      <c r="C28" s="205" t="s">
        <v>20</v>
      </c>
      <c r="D28" s="153"/>
      <c r="E28" s="154"/>
      <c r="F28" s="154"/>
      <c r="G28" s="245">
        <v>45169</v>
      </c>
      <c r="H28" s="1">
        <v>2023</v>
      </c>
      <c r="I28" s="75" t="s">
        <v>33</v>
      </c>
      <c r="J28" s="75">
        <v>10</v>
      </c>
      <c r="K28" s="155">
        <v>0.67045916294195507</v>
      </c>
      <c r="L28" s="24" t="s">
        <v>394</v>
      </c>
      <c r="M28" s="91">
        <v>0.21301336454980005</v>
      </c>
      <c r="N28" s="91">
        <v>0.43243585991610578</v>
      </c>
      <c r="O28" s="56">
        <v>1.5412740220466299</v>
      </c>
      <c r="P28" s="56">
        <v>1.2459467369037167</v>
      </c>
      <c r="Q28" s="56">
        <v>2.7617647058823529</v>
      </c>
      <c r="R28" s="56">
        <v>2.6039020583357724</v>
      </c>
      <c r="S28" s="91">
        <v>0.70495073651351092</v>
      </c>
      <c r="T28" s="55">
        <v>9.5032874841478883</v>
      </c>
      <c r="U28" s="5">
        <f t="shared" si="3"/>
        <v>61.579744178684976</v>
      </c>
      <c r="V28" s="217" t="s">
        <v>221</v>
      </c>
      <c r="W28" s="217">
        <v>1.9419378560423195E-2</v>
      </c>
      <c r="X28" s="217">
        <v>1.9785511744822872E-2</v>
      </c>
      <c r="Y28" s="217">
        <v>1.1963900529724555E-2</v>
      </c>
      <c r="Z28" s="217">
        <v>2.2561808266358847E-2</v>
      </c>
      <c r="AA28" s="217" t="s">
        <v>222</v>
      </c>
      <c r="AB28" s="217" t="s">
        <v>221</v>
      </c>
      <c r="AC28" s="217" t="s">
        <v>223</v>
      </c>
      <c r="AD28" s="217">
        <v>7.373059910132948E-2</v>
      </c>
      <c r="AE28" s="24">
        <f t="shared" si="4"/>
        <v>5.1168790834970626E-2</v>
      </c>
      <c r="AF28" s="153" t="s">
        <v>395</v>
      </c>
      <c r="AG28" s="153" t="s">
        <v>395</v>
      </c>
      <c r="AH28" s="86">
        <v>5.1885249330655947</v>
      </c>
      <c r="AI28" s="85" t="s">
        <v>208</v>
      </c>
      <c r="AJ28" s="85">
        <v>8.1632083891120019E-2</v>
      </c>
      <c r="AK28" s="85" t="s">
        <v>209</v>
      </c>
      <c r="AL28" s="85" t="s">
        <v>133</v>
      </c>
      <c r="AM28" s="85">
        <v>5.7730923694779099E-2</v>
      </c>
      <c r="AN28" s="85">
        <v>0.47986390004462282</v>
      </c>
      <c r="AO28" s="85" t="s">
        <v>133</v>
      </c>
      <c r="AP28" s="85" t="s">
        <v>395</v>
      </c>
      <c r="AQ28" s="85">
        <v>0.43946619812583659</v>
      </c>
      <c r="AR28" s="85" t="s">
        <v>133</v>
      </c>
      <c r="AS28" s="85">
        <v>0.6258087907184291</v>
      </c>
      <c r="AT28" s="85">
        <v>0.13289268183846495</v>
      </c>
      <c r="AU28" s="85" t="s">
        <v>212</v>
      </c>
      <c r="AV28" s="85" t="s">
        <v>133</v>
      </c>
      <c r="AW28" s="85" t="s">
        <v>133</v>
      </c>
      <c r="AX28" s="85" t="s">
        <v>133</v>
      </c>
      <c r="AY28" s="85" t="s">
        <v>133</v>
      </c>
      <c r="AZ28" s="85" t="s">
        <v>133</v>
      </c>
      <c r="BA28" s="85" t="s">
        <v>133</v>
      </c>
      <c r="BB28" s="85" t="s">
        <v>133</v>
      </c>
      <c r="BC28" s="205" t="s">
        <v>395</v>
      </c>
      <c r="BD28" s="205" t="s">
        <v>395</v>
      </c>
      <c r="BE28" s="205" t="s">
        <v>395</v>
      </c>
      <c r="BF28" s="205" t="s">
        <v>395</v>
      </c>
      <c r="BG28" s="205" t="s">
        <v>395</v>
      </c>
      <c r="BH28" s="205" t="s">
        <v>395</v>
      </c>
      <c r="BI28" s="205" t="s">
        <v>395</v>
      </c>
      <c r="BJ28" s="219" t="s">
        <v>395</v>
      </c>
      <c r="BK28" s="223" t="s">
        <v>395</v>
      </c>
      <c r="BL28" s="153" t="s">
        <v>395</v>
      </c>
      <c r="BM28" s="156" t="s">
        <v>395</v>
      </c>
      <c r="BN28" s="182">
        <v>110</v>
      </c>
      <c r="BO28" s="5" t="s">
        <v>395</v>
      </c>
      <c r="BP28" s="5" t="s">
        <v>395</v>
      </c>
      <c r="BQ28" s="5" t="s">
        <v>395</v>
      </c>
      <c r="BR28" s="5" t="s">
        <v>395</v>
      </c>
      <c r="BS28" s="5" t="s">
        <v>395</v>
      </c>
      <c r="BT28" s="5" t="s">
        <v>395</v>
      </c>
      <c r="BU28" s="5" t="s">
        <v>395</v>
      </c>
      <c r="BV28" s="5" t="s">
        <v>395</v>
      </c>
      <c r="BW28" s="5" t="s">
        <v>395</v>
      </c>
      <c r="BX28" s="5" t="s">
        <v>395</v>
      </c>
      <c r="BY28" s="5" t="s">
        <v>395</v>
      </c>
      <c r="BZ28" s="5" t="s">
        <v>395</v>
      </c>
      <c r="CA28" s="5" t="s">
        <v>395</v>
      </c>
      <c r="CB28" s="5" t="s">
        <v>395</v>
      </c>
      <c r="CC28" s="5" t="s">
        <v>395</v>
      </c>
      <c r="CD28" s="5" t="s">
        <v>395</v>
      </c>
      <c r="CE28" s="5" t="s">
        <v>395</v>
      </c>
      <c r="CF28" s="5" t="s">
        <v>395</v>
      </c>
      <c r="CG28" s="5" t="s">
        <v>395</v>
      </c>
      <c r="CH28" s="5" t="s">
        <v>395</v>
      </c>
      <c r="CI28" s="220" t="s">
        <v>395</v>
      </c>
      <c r="CJ28" s="220" t="s">
        <v>395</v>
      </c>
      <c r="CK28" s="220" t="s">
        <v>395</v>
      </c>
      <c r="CL28" s="220" t="s">
        <v>395</v>
      </c>
      <c r="CM28" s="220" t="s">
        <v>395</v>
      </c>
      <c r="CN28" s="220" t="s">
        <v>395</v>
      </c>
      <c r="CO28" s="220" t="s">
        <v>395</v>
      </c>
      <c r="CP28" s="220" t="s">
        <v>395</v>
      </c>
      <c r="CQ28" s="57" t="s">
        <v>395</v>
      </c>
      <c r="CR28" s="57" t="s">
        <v>395</v>
      </c>
      <c r="CS28" s="57" t="s">
        <v>395</v>
      </c>
      <c r="CT28" s="57" t="s">
        <v>395</v>
      </c>
      <c r="CU28" s="57" t="s">
        <v>395</v>
      </c>
      <c r="CV28" s="57" t="s">
        <v>395</v>
      </c>
      <c r="CW28" s="57" t="s">
        <v>395</v>
      </c>
      <c r="CX28" s="57" t="s">
        <v>395</v>
      </c>
      <c r="CY28" s="59" t="s">
        <v>395</v>
      </c>
    </row>
    <row r="29" spans="1:103" x14ac:dyDescent="0.3">
      <c r="A29" s="153" t="s">
        <v>25</v>
      </c>
      <c r="B29" s="153" t="s">
        <v>25</v>
      </c>
      <c r="C29" s="205" t="s">
        <v>20</v>
      </c>
      <c r="D29" s="153"/>
      <c r="E29" s="154"/>
      <c r="F29" s="154"/>
      <c r="G29" s="245">
        <v>45170</v>
      </c>
      <c r="H29" s="1">
        <v>2023</v>
      </c>
      <c r="I29" s="75" t="s">
        <v>33</v>
      </c>
      <c r="J29" s="75">
        <v>10</v>
      </c>
      <c r="K29" s="155">
        <v>0.58063870257286399</v>
      </c>
      <c r="L29" s="24" t="s">
        <v>394</v>
      </c>
      <c r="M29" s="224" t="s">
        <v>138</v>
      </c>
      <c r="N29" s="224">
        <v>6.0789240319243279E-2</v>
      </c>
      <c r="O29" s="91">
        <v>0.69921667159326051</v>
      </c>
      <c r="P29" s="91">
        <v>0.54887181003054497</v>
      </c>
      <c r="Q29" s="56">
        <v>2.5416198640260124</v>
      </c>
      <c r="R29" s="56">
        <v>2.1435412355897134</v>
      </c>
      <c r="S29" s="91">
        <v>0.73793477189870926</v>
      </c>
      <c r="T29" s="56">
        <v>6.731973593457484</v>
      </c>
      <c r="U29" s="5">
        <f>SUM(M29,N29,O29,Q29,R29,S29)*(5/K29)</f>
        <v>53.243968719524219</v>
      </c>
      <c r="V29" s="81" t="s">
        <v>224</v>
      </c>
      <c r="W29" s="81">
        <v>5.3543620087528804E-2</v>
      </c>
      <c r="X29" s="81">
        <v>3.4330691037025962E-2</v>
      </c>
      <c r="Y29" s="81">
        <v>4.7884913448240758E-2</v>
      </c>
      <c r="Z29" s="81">
        <v>1.7692556819453274E-2</v>
      </c>
      <c r="AA29" s="81">
        <v>7.726382386593276E-3</v>
      </c>
      <c r="AB29" s="81" t="s">
        <v>224</v>
      </c>
      <c r="AC29" s="217" t="s">
        <v>225</v>
      </c>
      <c r="AD29" s="6">
        <v>0.16117816377884209</v>
      </c>
      <c r="AE29" s="24">
        <f t="shared" si="4"/>
        <v>0.14348560695938881</v>
      </c>
      <c r="AF29" s="153" t="s">
        <v>395</v>
      </c>
      <c r="AG29" s="153" t="s">
        <v>395</v>
      </c>
      <c r="AH29" s="84">
        <v>12.367993447268216</v>
      </c>
      <c r="AI29" s="85" t="s">
        <v>208</v>
      </c>
      <c r="AJ29" s="85" t="s">
        <v>36</v>
      </c>
      <c r="AK29" s="85" t="s">
        <v>209</v>
      </c>
      <c r="AL29" s="85" t="s">
        <v>133</v>
      </c>
      <c r="AM29" s="85" t="s">
        <v>133</v>
      </c>
      <c r="AN29" s="85">
        <v>0.93556480415596688</v>
      </c>
      <c r="AO29" s="85">
        <v>0.27468343221464619</v>
      </c>
      <c r="AP29" s="85" t="s">
        <v>395</v>
      </c>
      <c r="AQ29" s="85">
        <v>0.30191268927654291</v>
      </c>
      <c r="AR29" s="85" t="s">
        <v>133</v>
      </c>
      <c r="AS29" s="85">
        <v>0.16206204433424831</v>
      </c>
      <c r="AT29" s="85" t="s">
        <v>220</v>
      </c>
      <c r="AU29" s="85" t="s">
        <v>212</v>
      </c>
      <c r="AV29" s="85" t="s">
        <v>133</v>
      </c>
      <c r="AW29" s="85" t="s">
        <v>133</v>
      </c>
      <c r="AX29" s="85" t="s">
        <v>133</v>
      </c>
      <c r="AY29" s="85" t="s">
        <v>133</v>
      </c>
      <c r="AZ29" s="85" t="s">
        <v>133</v>
      </c>
      <c r="BA29" s="85" t="s">
        <v>133</v>
      </c>
      <c r="BB29" s="85" t="s">
        <v>133</v>
      </c>
      <c r="BC29" s="205" t="s">
        <v>395</v>
      </c>
      <c r="BD29" s="205" t="s">
        <v>395</v>
      </c>
      <c r="BE29" s="205" t="s">
        <v>395</v>
      </c>
      <c r="BF29" s="205" t="s">
        <v>395</v>
      </c>
      <c r="BG29" s="205" t="s">
        <v>395</v>
      </c>
      <c r="BH29" s="205" t="s">
        <v>395</v>
      </c>
      <c r="BI29" s="205" t="s">
        <v>395</v>
      </c>
      <c r="BJ29" s="219" t="s">
        <v>395</v>
      </c>
      <c r="BK29" s="223" t="s">
        <v>395</v>
      </c>
      <c r="BL29" s="153" t="s">
        <v>395</v>
      </c>
      <c r="BM29" s="156" t="s">
        <v>395</v>
      </c>
      <c r="BN29" s="182">
        <v>86</v>
      </c>
      <c r="BO29" s="5" t="s">
        <v>395</v>
      </c>
      <c r="BP29" s="5" t="s">
        <v>395</v>
      </c>
      <c r="BQ29" s="5" t="s">
        <v>395</v>
      </c>
      <c r="BR29" s="5" t="s">
        <v>395</v>
      </c>
      <c r="BS29" s="5" t="s">
        <v>395</v>
      </c>
      <c r="BT29" s="5" t="s">
        <v>395</v>
      </c>
      <c r="BU29" s="5" t="s">
        <v>395</v>
      </c>
      <c r="BV29" s="5" t="s">
        <v>395</v>
      </c>
      <c r="BW29" s="5" t="s">
        <v>395</v>
      </c>
      <c r="BX29" s="5" t="s">
        <v>395</v>
      </c>
      <c r="BY29" s="5" t="s">
        <v>395</v>
      </c>
      <c r="BZ29" s="5" t="s">
        <v>395</v>
      </c>
      <c r="CA29" s="5" t="s">
        <v>395</v>
      </c>
      <c r="CB29" s="5" t="s">
        <v>395</v>
      </c>
      <c r="CC29" s="5" t="s">
        <v>395</v>
      </c>
      <c r="CD29" s="5" t="s">
        <v>395</v>
      </c>
      <c r="CE29" s="5" t="s">
        <v>395</v>
      </c>
      <c r="CF29" s="5" t="s">
        <v>395</v>
      </c>
      <c r="CG29" s="5" t="s">
        <v>395</v>
      </c>
      <c r="CH29" s="5" t="s">
        <v>395</v>
      </c>
      <c r="CI29" s="220" t="s">
        <v>395</v>
      </c>
      <c r="CJ29" s="220" t="s">
        <v>395</v>
      </c>
      <c r="CK29" s="220" t="s">
        <v>395</v>
      </c>
      <c r="CL29" s="220" t="s">
        <v>395</v>
      </c>
      <c r="CM29" s="220" t="s">
        <v>395</v>
      </c>
      <c r="CN29" s="220" t="s">
        <v>395</v>
      </c>
      <c r="CO29" s="220" t="s">
        <v>395</v>
      </c>
      <c r="CP29" s="220" t="s">
        <v>395</v>
      </c>
      <c r="CQ29" s="57" t="s">
        <v>395</v>
      </c>
      <c r="CR29" s="57" t="s">
        <v>395</v>
      </c>
      <c r="CS29" s="57" t="s">
        <v>395</v>
      </c>
      <c r="CT29" s="57" t="s">
        <v>395</v>
      </c>
      <c r="CU29" s="57" t="s">
        <v>395</v>
      </c>
      <c r="CV29" s="57" t="s">
        <v>395</v>
      </c>
      <c r="CW29" s="57" t="s">
        <v>395</v>
      </c>
      <c r="CX29" s="57" t="s">
        <v>395</v>
      </c>
      <c r="CY29" s="59" t="s">
        <v>395</v>
      </c>
    </row>
    <row r="30" spans="1:103" x14ac:dyDescent="0.3">
      <c r="A30" s="153" t="s">
        <v>6</v>
      </c>
      <c r="B30" s="153" t="s">
        <v>6</v>
      </c>
      <c r="C30" s="205" t="s">
        <v>20</v>
      </c>
      <c r="D30" s="153"/>
      <c r="E30" s="154"/>
      <c r="F30" s="154"/>
      <c r="G30" s="245">
        <v>45175</v>
      </c>
      <c r="H30" s="1">
        <v>2023</v>
      </c>
      <c r="I30" s="75" t="s">
        <v>33</v>
      </c>
      <c r="J30" s="75">
        <v>10</v>
      </c>
      <c r="K30" s="155">
        <v>0.48081738956230963</v>
      </c>
      <c r="L30" s="24" t="s">
        <v>394</v>
      </c>
      <c r="M30" s="224">
        <v>3.5046305617072684E-2</v>
      </c>
      <c r="N30" s="91">
        <v>0.38043587678679291</v>
      </c>
      <c r="O30" s="56">
        <v>2.3064274209784581</v>
      </c>
      <c r="P30" s="56">
        <v>1.8520636198912825</v>
      </c>
      <c r="Q30" s="56">
        <v>5.3342963559492658</v>
      </c>
      <c r="R30" s="56">
        <v>4.2933058184014499</v>
      </c>
      <c r="S30" s="56">
        <v>1.2768773907791424</v>
      </c>
      <c r="T30" s="55">
        <v>15.477300181195895</v>
      </c>
      <c r="U30" s="5">
        <f t="shared" si="3"/>
        <v>141.70025319712695</v>
      </c>
      <c r="V30" s="217" t="s">
        <v>226</v>
      </c>
      <c r="W30" s="217">
        <v>0.12606724087022481</v>
      </c>
      <c r="X30" s="217">
        <v>4.3198189251169403E-2</v>
      </c>
      <c r="Y30" s="217">
        <v>8.5261853004302848E-2</v>
      </c>
      <c r="Z30" s="217">
        <v>2.0523895227499023E-2</v>
      </c>
      <c r="AA30" s="217">
        <v>9.8970240420161535E-3</v>
      </c>
      <c r="AB30" s="217" t="s">
        <v>226</v>
      </c>
      <c r="AC30" s="81" t="s">
        <v>227</v>
      </c>
      <c r="AD30" s="6">
        <v>0.28494820239521224</v>
      </c>
      <c r="AE30" s="24">
        <f t="shared" si="4"/>
        <v>0.2644243071677132</v>
      </c>
      <c r="AF30" s="153" t="s">
        <v>395</v>
      </c>
      <c r="AG30" s="153" t="s">
        <v>395</v>
      </c>
      <c r="AH30" s="86">
        <v>4.9399306794433961</v>
      </c>
      <c r="AI30" s="85" t="s">
        <v>208</v>
      </c>
      <c r="AJ30" s="85" t="s">
        <v>36</v>
      </c>
      <c r="AK30" s="85" t="s">
        <v>209</v>
      </c>
      <c r="AL30" s="85" t="s">
        <v>133</v>
      </c>
      <c r="AM30" s="85">
        <v>6.7638513685712817E-2</v>
      </c>
      <c r="AN30" s="85">
        <v>0.66765210595171354</v>
      </c>
      <c r="AO30" s="85">
        <v>9.2716244456904018E-2</v>
      </c>
      <c r="AP30" s="85" t="s">
        <v>395</v>
      </c>
      <c r="AQ30" s="85">
        <v>0.27957592130077985</v>
      </c>
      <c r="AR30" s="85" t="s">
        <v>133</v>
      </c>
      <c r="AS30" s="85">
        <v>0.22627724824574819</v>
      </c>
      <c r="AT30" s="85" t="s">
        <v>220</v>
      </c>
      <c r="AU30" s="85" t="s">
        <v>212</v>
      </c>
      <c r="AV30" s="85" t="s">
        <v>133</v>
      </c>
      <c r="AW30" s="85" t="s">
        <v>133</v>
      </c>
      <c r="AX30" s="85" t="s">
        <v>133</v>
      </c>
      <c r="AY30" s="85" t="s">
        <v>133</v>
      </c>
      <c r="AZ30" s="85" t="s">
        <v>133</v>
      </c>
      <c r="BA30" s="85" t="s">
        <v>133</v>
      </c>
      <c r="BB30" s="85" t="s">
        <v>133</v>
      </c>
      <c r="BC30" s="205" t="s">
        <v>395</v>
      </c>
      <c r="BD30" s="205" t="s">
        <v>395</v>
      </c>
      <c r="BE30" s="205" t="s">
        <v>395</v>
      </c>
      <c r="BF30" s="205" t="s">
        <v>395</v>
      </c>
      <c r="BG30" s="205" t="s">
        <v>395</v>
      </c>
      <c r="BH30" s="205" t="s">
        <v>395</v>
      </c>
      <c r="BI30" s="205" t="s">
        <v>395</v>
      </c>
      <c r="BJ30" s="219" t="s">
        <v>395</v>
      </c>
      <c r="BK30" s="223" t="s">
        <v>395</v>
      </c>
      <c r="BL30" s="153" t="s">
        <v>395</v>
      </c>
      <c r="BM30" s="156" t="s">
        <v>395</v>
      </c>
      <c r="BN30" s="182">
        <v>54</v>
      </c>
      <c r="BO30" s="5" t="s">
        <v>395</v>
      </c>
      <c r="BP30" s="5" t="s">
        <v>395</v>
      </c>
      <c r="BQ30" s="5" t="s">
        <v>395</v>
      </c>
      <c r="BR30" s="5" t="s">
        <v>395</v>
      </c>
      <c r="BS30" s="5" t="s">
        <v>395</v>
      </c>
      <c r="BT30" s="5" t="s">
        <v>395</v>
      </c>
      <c r="BU30" s="5" t="s">
        <v>395</v>
      </c>
      <c r="BV30" s="5" t="s">
        <v>395</v>
      </c>
      <c r="BW30" s="5" t="s">
        <v>395</v>
      </c>
      <c r="BX30" s="5" t="s">
        <v>395</v>
      </c>
      <c r="BY30" s="5" t="s">
        <v>395</v>
      </c>
      <c r="BZ30" s="5" t="s">
        <v>395</v>
      </c>
      <c r="CA30" s="5" t="s">
        <v>395</v>
      </c>
      <c r="CB30" s="5" t="s">
        <v>395</v>
      </c>
      <c r="CC30" s="5" t="s">
        <v>395</v>
      </c>
      <c r="CD30" s="5" t="s">
        <v>395</v>
      </c>
      <c r="CE30" s="5" t="s">
        <v>395</v>
      </c>
      <c r="CF30" s="5" t="s">
        <v>395</v>
      </c>
      <c r="CG30" s="5" t="s">
        <v>395</v>
      </c>
      <c r="CH30" s="5" t="s">
        <v>395</v>
      </c>
      <c r="CI30" s="220" t="s">
        <v>395</v>
      </c>
      <c r="CJ30" s="220" t="s">
        <v>395</v>
      </c>
      <c r="CK30" s="220" t="s">
        <v>395</v>
      </c>
      <c r="CL30" s="220" t="s">
        <v>395</v>
      </c>
      <c r="CM30" s="220" t="s">
        <v>395</v>
      </c>
      <c r="CN30" s="220" t="s">
        <v>395</v>
      </c>
      <c r="CO30" s="220" t="s">
        <v>395</v>
      </c>
      <c r="CP30" s="220" t="s">
        <v>395</v>
      </c>
      <c r="CQ30" s="57" t="s">
        <v>395</v>
      </c>
      <c r="CR30" s="57" t="s">
        <v>395</v>
      </c>
      <c r="CS30" s="57" t="s">
        <v>395</v>
      </c>
      <c r="CT30" s="57" t="s">
        <v>395</v>
      </c>
      <c r="CU30" s="57" t="s">
        <v>395</v>
      </c>
      <c r="CV30" s="57" t="s">
        <v>395</v>
      </c>
      <c r="CW30" s="57" t="s">
        <v>395</v>
      </c>
      <c r="CX30" s="57" t="s">
        <v>395</v>
      </c>
      <c r="CY30" s="59" t="s">
        <v>395</v>
      </c>
    </row>
    <row r="31" spans="1:103" x14ac:dyDescent="0.3">
      <c r="A31" s="153" t="s">
        <v>112</v>
      </c>
      <c r="B31" s="153" t="s">
        <v>199</v>
      </c>
      <c r="C31" s="205" t="s">
        <v>20</v>
      </c>
      <c r="D31" s="153"/>
      <c r="E31" s="154"/>
      <c r="F31" s="154"/>
      <c r="G31" s="245">
        <v>45170</v>
      </c>
      <c r="H31" s="1">
        <v>2023</v>
      </c>
      <c r="I31" s="75" t="s">
        <v>33</v>
      </c>
      <c r="J31" s="75">
        <v>10</v>
      </c>
      <c r="K31" s="155">
        <v>0.56471764117944345</v>
      </c>
      <c r="L31" s="24" t="s">
        <v>394</v>
      </c>
      <c r="M31" s="91">
        <v>0.44432182985553775</v>
      </c>
      <c r="N31" s="56">
        <v>1.2042987560192617</v>
      </c>
      <c r="O31" s="56">
        <v>5.4840339085072225</v>
      </c>
      <c r="P31" s="56">
        <v>4.5118479133226321</v>
      </c>
      <c r="Q31" s="55">
        <v>11.613563402889245</v>
      </c>
      <c r="R31" s="55">
        <v>10.423725922953452</v>
      </c>
      <c r="S31" s="56">
        <v>3.0970204654895666</v>
      </c>
      <c r="T31" s="55">
        <v>36.778812199036913</v>
      </c>
      <c r="U31" s="5">
        <f t="shared" si="3"/>
        <v>285.69113068898446</v>
      </c>
      <c r="V31" s="217" t="s">
        <v>228</v>
      </c>
      <c r="W31" s="217">
        <v>9.5966778310588155E-2</v>
      </c>
      <c r="X31" s="217">
        <v>4.469765995413684E-2</v>
      </c>
      <c r="Y31" s="217">
        <v>5.2282195514730533E-2</v>
      </c>
      <c r="Z31" s="217">
        <v>1.7389299563974406E-2</v>
      </c>
      <c r="AA31" s="217">
        <v>8.5136817328390797E-3</v>
      </c>
      <c r="AB31" s="217" t="s">
        <v>228</v>
      </c>
      <c r="AC31" s="217" t="s">
        <v>229</v>
      </c>
      <c r="AD31" s="6">
        <v>0.21884961507626902</v>
      </c>
      <c r="AE31" s="24">
        <f t="shared" si="4"/>
        <v>0.20146031551229462</v>
      </c>
      <c r="AF31" s="153" t="s">
        <v>395</v>
      </c>
      <c r="AG31" s="153" t="s">
        <v>395</v>
      </c>
      <c r="AH31" s="86">
        <v>3.4018073966648927</v>
      </c>
      <c r="AI31" s="85" t="s">
        <v>208</v>
      </c>
      <c r="AJ31" s="85" t="s">
        <v>36</v>
      </c>
      <c r="AK31" s="85" t="s">
        <v>209</v>
      </c>
      <c r="AL31" s="85" t="s">
        <v>133</v>
      </c>
      <c r="AM31" s="85">
        <v>6.5113156885308804E-2</v>
      </c>
      <c r="AN31" s="85">
        <v>0.13369411946446694</v>
      </c>
      <c r="AO31" s="85" t="s">
        <v>133</v>
      </c>
      <c r="AP31" s="85" t="s">
        <v>395</v>
      </c>
      <c r="AQ31" s="85">
        <v>0.30418616150648736</v>
      </c>
      <c r="AR31" s="85" t="s">
        <v>133</v>
      </c>
      <c r="AS31" s="85">
        <v>0.60276413774135995</v>
      </c>
      <c r="AT31" s="85">
        <v>0.34287851233353711</v>
      </c>
      <c r="AU31" s="85" t="s">
        <v>212</v>
      </c>
      <c r="AV31" s="85" t="s">
        <v>133</v>
      </c>
      <c r="AW31" s="85" t="s">
        <v>133</v>
      </c>
      <c r="AX31" s="85" t="s">
        <v>133</v>
      </c>
      <c r="AY31" s="85" t="s">
        <v>133</v>
      </c>
      <c r="AZ31" s="85" t="s">
        <v>133</v>
      </c>
      <c r="BA31" s="85" t="s">
        <v>133</v>
      </c>
      <c r="BB31" s="85" t="s">
        <v>133</v>
      </c>
      <c r="BC31" s="205" t="s">
        <v>395</v>
      </c>
      <c r="BD31" s="205" t="s">
        <v>395</v>
      </c>
      <c r="BE31" s="205" t="s">
        <v>395</v>
      </c>
      <c r="BF31" s="205" t="s">
        <v>395</v>
      </c>
      <c r="BG31" s="205" t="s">
        <v>395</v>
      </c>
      <c r="BH31" s="205" t="s">
        <v>395</v>
      </c>
      <c r="BI31" s="205" t="s">
        <v>395</v>
      </c>
      <c r="BJ31" s="219" t="s">
        <v>395</v>
      </c>
      <c r="BK31" s="223" t="s">
        <v>395</v>
      </c>
      <c r="BL31" s="153" t="s">
        <v>395</v>
      </c>
      <c r="BM31" s="156" t="s">
        <v>395</v>
      </c>
      <c r="BN31" s="182">
        <v>240</v>
      </c>
      <c r="BO31" s="5" t="s">
        <v>395</v>
      </c>
      <c r="BP31" s="5" t="s">
        <v>395</v>
      </c>
      <c r="BQ31" s="5" t="s">
        <v>395</v>
      </c>
      <c r="BR31" s="5" t="s">
        <v>395</v>
      </c>
      <c r="BS31" s="5" t="s">
        <v>395</v>
      </c>
      <c r="BT31" s="5" t="s">
        <v>395</v>
      </c>
      <c r="BU31" s="5" t="s">
        <v>395</v>
      </c>
      <c r="BV31" s="5" t="s">
        <v>395</v>
      </c>
      <c r="BW31" s="5" t="s">
        <v>395</v>
      </c>
      <c r="BX31" s="5" t="s">
        <v>395</v>
      </c>
      <c r="BY31" s="5" t="s">
        <v>395</v>
      </c>
      <c r="BZ31" s="5" t="s">
        <v>395</v>
      </c>
      <c r="CA31" s="5" t="s">
        <v>395</v>
      </c>
      <c r="CB31" s="5" t="s">
        <v>395</v>
      </c>
      <c r="CC31" s="5" t="s">
        <v>395</v>
      </c>
      <c r="CD31" s="5" t="s">
        <v>395</v>
      </c>
      <c r="CE31" s="5" t="s">
        <v>395</v>
      </c>
      <c r="CF31" s="5" t="s">
        <v>395</v>
      </c>
      <c r="CG31" s="5" t="s">
        <v>395</v>
      </c>
      <c r="CH31" s="5" t="s">
        <v>395</v>
      </c>
      <c r="CI31" s="220" t="s">
        <v>395</v>
      </c>
      <c r="CJ31" s="220" t="s">
        <v>395</v>
      </c>
      <c r="CK31" s="220" t="s">
        <v>395</v>
      </c>
      <c r="CL31" s="220" t="s">
        <v>395</v>
      </c>
      <c r="CM31" s="220" t="s">
        <v>395</v>
      </c>
      <c r="CN31" s="220" t="s">
        <v>395</v>
      </c>
      <c r="CO31" s="220" t="s">
        <v>395</v>
      </c>
      <c r="CP31" s="220" t="s">
        <v>395</v>
      </c>
      <c r="CQ31" s="57" t="s">
        <v>395</v>
      </c>
      <c r="CR31" s="57" t="s">
        <v>395</v>
      </c>
      <c r="CS31" s="57" t="s">
        <v>395</v>
      </c>
      <c r="CT31" s="57" t="s">
        <v>395</v>
      </c>
      <c r="CU31" s="57" t="s">
        <v>395</v>
      </c>
      <c r="CV31" s="57" t="s">
        <v>395</v>
      </c>
      <c r="CW31" s="57" t="s">
        <v>395</v>
      </c>
      <c r="CX31" s="57" t="s">
        <v>395</v>
      </c>
      <c r="CY31" s="59" t="s">
        <v>395</v>
      </c>
    </row>
    <row r="32" spans="1:103" s="152" customFormat="1" x14ac:dyDescent="0.3">
      <c r="A32" s="153" t="s">
        <v>388</v>
      </c>
      <c r="B32" s="153" t="s">
        <v>200</v>
      </c>
      <c r="C32" s="205" t="s">
        <v>20</v>
      </c>
      <c r="D32" s="153" t="s">
        <v>382</v>
      </c>
      <c r="E32" s="154"/>
      <c r="F32" s="154"/>
      <c r="G32" s="221"/>
      <c r="H32" s="1">
        <v>2021</v>
      </c>
      <c r="I32" s="75" t="s">
        <v>33</v>
      </c>
      <c r="J32" s="75">
        <v>10</v>
      </c>
      <c r="K32" s="155">
        <v>0.56402137344157643</v>
      </c>
      <c r="L32" s="24" t="s">
        <v>394</v>
      </c>
      <c r="M32" s="224">
        <v>1.522167487684729E-2</v>
      </c>
      <c r="N32" s="224">
        <v>5.7571428571428572E-2</v>
      </c>
      <c r="O32" s="91">
        <v>0.64161083743842362</v>
      </c>
      <c r="P32" s="91">
        <v>0.53382266009852219</v>
      </c>
      <c r="Q32" s="56">
        <v>2.5490443349753695</v>
      </c>
      <c r="R32" s="56">
        <v>2.1790344827586208</v>
      </c>
      <c r="S32" s="91">
        <v>0.7492512315270935</v>
      </c>
      <c r="T32" s="56">
        <v>6.7255566502463058</v>
      </c>
      <c r="U32" s="5">
        <f t="shared" si="3"/>
        <v>54.889178688094056</v>
      </c>
      <c r="V32" s="217" t="s">
        <v>230</v>
      </c>
      <c r="W32" s="217">
        <v>5.6462309847059529E-2</v>
      </c>
      <c r="X32" s="217">
        <v>3.7733985775730408E-2</v>
      </c>
      <c r="Y32" s="217">
        <v>5.2100561497443978E-2</v>
      </c>
      <c r="Z32" s="217">
        <v>2.1777794955048644E-2</v>
      </c>
      <c r="AA32" s="217">
        <v>8.4081721315387731E-3</v>
      </c>
      <c r="AB32" s="217">
        <v>7.6434139470555936E-3</v>
      </c>
      <c r="AC32" s="217" t="s">
        <v>231</v>
      </c>
      <c r="AD32" s="6">
        <v>0.18412623815387694</v>
      </c>
      <c r="AE32" s="24">
        <f t="shared" si="4"/>
        <v>0.1623484431988283</v>
      </c>
      <c r="AF32" s="153" t="s">
        <v>395</v>
      </c>
      <c r="AG32" s="157" t="s">
        <v>395</v>
      </c>
      <c r="AH32" s="84">
        <v>24.76489720336167</v>
      </c>
      <c r="AI32" s="85" t="s">
        <v>208</v>
      </c>
      <c r="AJ32" s="85" t="s">
        <v>36</v>
      </c>
      <c r="AK32" s="85" t="s">
        <v>209</v>
      </c>
      <c r="AL32" s="85" t="s">
        <v>133</v>
      </c>
      <c r="AM32" s="85">
        <v>0.14590950097336311</v>
      </c>
      <c r="AN32" s="86">
        <v>1.2500672649288578</v>
      </c>
      <c r="AO32" s="85">
        <v>0.28968235126537206</v>
      </c>
      <c r="AP32" s="85" t="s">
        <v>395</v>
      </c>
      <c r="AQ32" s="85">
        <v>0.53829352832249189</v>
      </c>
      <c r="AR32" s="85" t="s">
        <v>133</v>
      </c>
      <c r="AS32" s="85">
        <v>0.38504027982210415</v>
      </c>
      <c r="AT32" s="85">
        <v>0.2182549103398066</v>
      </c>
      <c r="AU32" s="85" t="s">
        <v>212</v>
      </c>
      <c r="AV32" s="85" t="s">
        <v>133</v>
      </c>
      <c r="AW32" s="85" t="s">
        <v>133</v>
      </c>
      <c r="AX32" s="85">
        <v>7.969707041451024E-2</v>
      </c>
      <c r="AY32" s="85" t="s">
        <v>133</v>
      </c>
      <c r="AZ32" s="85" t="s">
        <v>133</v>
      </c>
      <c r="BA32" s="85" t="s">
        <v>133</v>
      </c>
      <c r="BB32" s="85" t="s">
        <v>133</v>
      </c>
      <c r="BC32" s="205" t="s">
        <v>395</v>
      </c>
      <c r="BD32" s="205" t="s">
        <v>395</v>
      </c>
      <c r="BE32" s="205" t="s">
        <v>395</v>
      </c>
      <c r="BF32" s="205" t="s">
        <v>395</v>
      </c>
      <c r="BG32" s="205" t="s">
        <v>395</v>
      </c>
      <c r="BH32" s="205" t="s">
        <v>395</v>
      </c>
      <c r="BI32" s="205" t="s">
        <v>395</v>
      </c>
      <c r="BJ32" s="219" t="s">
        <v>395</v>
      </c>
      <c r="BK32" s="225" t="s">
        <v>395</v>
      </c>
      <c r="BL32" s="153" t="s">
        <v>395</v>
      </c>
      <c r="BM32" s="156" t="s">
        <v>395</v>
      </c>
      <c r="BN32" s="182">
        <v>120</v>
      </c>
      <c r="BO32" s="5" t="s">
        <v>395</v>
      </c>
      <c r="BP32" s="5" t="s">
        <v>395</v>
      </c>
      <c r="BQ32" s="5" t="s">
        <v>395</v>
      </c>
      <c r="BR32" s="5" t="s">
        <v>395</v>
      </c>
      <c r="BS32" s="5" t="s">
        <v>395</v>
      </c>
      <c r="BT32" s="5" t="s">
        <v>395</v>
      </c>
      <c r="BU32" s="5" t="s">
        <v>395</v>
      </c>
      <c r="BV32" s="5" t="s">
        <v>395</v>
      </c>
      <c r="BW32" s="5" t="s">
        <v>395</v>
      </c>
      <c r="BX32" s="5" t="s">
        <v>395</v>
      </c>
      <c r="BY32" s="5" t="s">
        <v>395</v>
      </c>
      <c r="BZ32" s="5" t="s">
        <v>395</v>
      </c>
      <c r="CA32" s="5" t="s">
        <v>395</v>
      </c>
      <c r="CB32" s="5" t="s">
        <v>395</v>
      </c>
      <c r="CC32" s="5" t="s">
        <v>395</v>
      </c>
      <c r="CD32" s="5" t="s">
        <v>395</v>
      </c>
      <c r="CE32" s="5" t="s">
        <v>395</v>
      </c>
      <c r="CF32" s="5" t="s">
        <v>395</v>
      </c>
      <c r="CG32" s="5" t="s">
        <v>395</v>
      </c>
      <c r="CH32" s="5" t="s">
        <v>395</v>
      </c>
      <c r="CI32" s="220" t="s">
        <v>395</v>
      </c>
      <c r="CJ32" s="220" t="s">
        <v>395</v>
      </c>
      <c r="CK32" s="220" t="s">
        <v>395</v>
      </c>
      <c r="CL32" s="220" t="s">
        <v>395</v>
      </c>
      <c r="CM32" s="220" t="s">
        <v>395</v>
      </c>
      <c r="CN32" s="220" t="s">
        <v>395</v>
      </c>
      <c r="CO32" s="220" t="s">
        <v>395</v>
      </c>
      <c r="CP32" s="220" t="s">
        <v>395</v>
      </c>
      <c r="CQ32" s="57" t="s">
        <v>395</v>
      </c>
      <c r="CR32" s="57" t="s">
        <v>395</v>
      </c>
      <c r="CS32" s="57" t="s">
        <v>395</v>
      </c>
      <c r="CT32" s="57" t="s">
        <v>395</v>
      </c>
      <c r="CU32" s="57" t="s">
        <v>395</v>
      </c>
      <c r="CV32" s="57" t="s">
        <v>395</v>
      </c>
      <c r="CW32" s="57" t="s">
        <v>395</v>
      </c>
      <c r="CX32" s="57" t="s">
        <v>395</v>
      </c>
      <c r="CY32" s="59" t="s">
        <v>395</v>
      </c>
    </row>
    <row r="33" spans="1:112" s="152" customFormat="1" x14ac:dyDescent="0.3">
      <c r="A33" s="153" t="s">
        <v>388</v>
      </c>
      <c r="B33" s="153" t="s">
        <v>201</v>
      </c>
      <c r="C33" s="205" t="s">
        <v>20</v>
      </c>
      <c r="D33" s="153" t="s">
        <v>389</v>
      </c>
      <c r="E33" s="154"/>
      <c r="F33" s="154"/>
      <c r="G33" s="221"/>
      <c r="H33" s="1">
        <v>2020</v>
      </c>
      <c r="I33" s="75" t="s">
        <v>33</v>
      </c>
      <c r="J33" s="75">
        <v>10</v>
      </c>
      <c r="K33" s="155">
        <v>0.66626287098730563</v>
      </c>
      <c r="L33" s="24" t="s">
        <v>394</v>
      </c>
      <c r="M33" s="224">
        <v>2.7262835097437928E-2</v>
      </c>
      <c r="N33" s="224">
        <v>5.9644870907112471E-2</v>
      </c>
      <c r="O33" s="91">
        <v>0.66828073993471171</v>
      </c>
      <c r="P33" s="91">
        <v>0.59709170046493221</v>
      </c>
      <c r="Q33" s="56">
        <v>2.8534375309130477</v>
      </c>
      <c r="R33" s="56">
        <v>2.4126026313186268</v>
      </c>
      <c r="S33" s="91">
        <v>0.98198634879810065</v>
      </c>
      <c r="T33" s="56">
        <v>7.6003066574339702</v>
      </c>
      <c r="U33" s="5">
        <f>SUM(M33,N33,O33,Q33,R33,S33)*(5/K33)</f>
        <v>52.555944972524742</v>
      </c>
      <c r="V33" s="217" t="s">
        <v>232</v>
      </c>
      <c r="W33" s="217">
        <v>8.3172326779904299E-2</v>
      </c>
      <c r="X33" s="217">
        <v>4.2777718250608179E-2</v>
      </c>
      <c r="Y33" s="217">
        <v>4.4173612214956463E-2</v>
      </c>
      <c r="Z33" s="217" t="s">
        <v>232</v>
      </c>
      <c r="AA33" s="217">
        <v>1.4470331642116025E-2</v>
      </c>
      <c r="AB33" s="217">
        <v>8.9426372098588003E-3</v>
      </c>
      <c r="AC33" s="217" t="s">
        <v>233</v>
      </c>
      <c r="AD33" s="6">
        <v>0.19353662609744379</v>
      </c>
      <c r="AE33" s="24">
        <f t="shared" si="4"/>
        <v>0.19353662609744379</v>
      </c>
      <c r="AF33" s="153" t="s">
        <v>395</v>
      </c>
      <c r="AG33" s="158" t="s">
        <v>395</v>
      </c>
      <c r="AH33" s="84">
        <v>28.013422651658537</v>
      </c>
      <c r="AI33" s="85" t="s">
        <v>208</v>
      </c>
      <c r="AJ33" s="85" t="s">
        <v>36</v>
      </c>
      <c r="AK33" s="85" t="s">
        <v>209</v>
      </c>
      <c r="AL33" s="85" t="s">
        <v>133</v>
      </c>
      <c r="AM33" s="85" t="s">
        <v>133</v>
      </c>
      <c r="AN33" s="86">
        <v>1.8722316299764259</v>
      </c>
      <c r="AO33" s="85">
        <v>0.43769299731048922</v>
      </c>
      <c r="AP33" s="85" t="s">
        <v>395</v>
      </c>
      <c r="AQ33" s="85">
        <v>0.50199223030182305</v>
      </c>
      <c r="AR33" s="85" t="s">
        <v>133</v>
      </c>
      <c r="AS33" s="85">
        <v>0.39318325198392939</v>
      </c>
      <c r="AT33" s="85">
        <v>0.17016967161403862</v>
      </c>
      <c r="AU33" s="85" t="s">
        <v>212</v>
      </c>
      <c r="AV33" s="85" t="s">
        <v>133</v>
      </c>
      <c r="AW33" s="85" t="s">
        <v>133</v>
      </c>
      <c r="AX33" s="85">
        <v>7.3488395258491906E-2</v>
      </c>
      <c r="AY33" s="85" t="s">
        <v>133</v>
      </c>
      <c r="AZ33" s="85" t="s">
        <v>133</v>
      </c>
      <c r="BA33" s="85" t="s">
        <v>133</v>
      </c>
      <c r="BB33" s="85" t="s">
        <v>133</v>
      </c>
      <c r="BC33" s="205" t="s">
        <v>395</v>
      </c>
      <c r="BD33" s="205" t="s">
        <v>395</v>
      </c>
      <c r="BE33" s="205" t="s">
        <v>395</v>
      </c>
      <c r="BF33" s="205" t="s">
        <v>395</v>
      </c>
      <c r="BG33" s="205" t="s">
        <v>395</v>
      </c>
      <c r="BH33" s="205" t="s">
        <v>395</v>
      </c>
      <c r="BI33" s="205" t="s">
        <v>395</v>
      </c>
      <c r="BJ33" s="219" t="s">
        <v>395</v>
      </c>
      <c r="BK33" s="225" t="s">
        <v>395</v>
      </c>
      <c r="BL33" s="153" t="s">
        <v>395</v>
      </c>
      <c r="BM33" s="156" t="s">
        <v>395</v>
      </c>
      <c r="BN33" s="182">
        <v>90</v>
      </c>
      <c r="BO33" s="5" t="s">
        <v>395</v>
      </c>
      <c r="BP33" s="5" t="s">
        <v>395</v>
      </c>
      <c r="BQ33" s="5" t="s">
        <v>395</v>
      </c>
      <c r="BR33" s="5" t="s">
        <v>395</v>
      </c>
      <c r="BS33" s="5" t="s">
        <v>395</v>
      </c>
      <c r="BT33" s="5" t="s">
        <v>395</v>
      </c>
      <c r="BU33" s="5" t="s">
        <v>395</v>
      </c>
      <c r="BV33" s="5" t="s">
        <v>395</v>
      </c>
      <c r="BW33" s="5" t="s">
        <v>395</v>
      </c>
      <c r="BX33" s="5" t="s">
        <v>395</v>
      </c>
      <c r="BY33" s="5" t="s">
        <v>395</v>
      </c>
      <c r="BZ33" s="5" t="s">
        <v>395</v>
      </c>
      <c r="CA33" s="5" t="s">
        <v>395</v>
      </c>
      <c r="CB33" s="5" t="s">
        <v>395</v>
      </c>
      <c r="CC33" s="5" t="s">
        <v>395</v>
      </c>
      <c r="CD33" s="5" t="s">
        <v>395</v>
      </c>
      <c r="CE33" s="5" t="s">
        <v>395</v>
      </c>
      <c r="CF33" s="5" t="s">
        <v>395</v>
      </c>
      <c r="CG33" s="5" t="s">
        <v>395</v>
      </c>
      <c r="CH33" s="5" t="s">
        <v>395</v>
      </c>
      <c r="CI33" s="220" t="s">
        <v>395</v>
      </c>
      <c r="CJ33" s="220" t="s">
        <v>395</v>
      </c>
      <c r="CK33" s="220" t="s">
        <v>395</v>
      </c>
      <c r="CL33" s="220" t="s">
        <v>395</v>
      </c>
      <c r="CM33" s="220" t="s">
        <v>395</v>
      </c>
      <c r="CN33" s="220" t="s">
        <v>395</v>
      </c>
      <c r="CO33" s="220" t="s">
        <v>395</v>
      </c>
      <c r="CP33" s="220" t="s">
        <v>395</v>
      </c>
      <c r="CQ33" s="57" t="s">
        <v>395</v>
      </c>
      <c r="CR33" s="57" t="s">
        <v>395</v>
      </c>
      <c r="CS33" s="57" t="s">
        <v>395</v>
      </c>
      <c r="CT33" s="57" t="s">
        <v>395</v>
      </c>
      <c r="CU33" s="57" t="s">
        <v>395</v>
      </c>
      <c r="CV33" s="57" t="s">
        <v>395</v>
      </c>
      <c r="CW33" s="57" t="s">
        <v>395</v>
      </c>
      <c r="CX33" s="57" t="s">
        <v>395</v>
      </c>
      <c r="CY33" s="59" t="s">
        <v>395</v>
      </c>
    </row>
    <row r="34" spans="1:112" s="152" customFormat="1" x14ac:dyDescent="0.3">
      <c r="A34" s="153" t="s">
        <v>391</v>
      </c>
      <c r="B34" s="153" t="s">
        <v>202</v>
      </c>
      <c r="C34" s="205" t="s">
        <v>20</v>
      </c>
      <c r="D34" s="153" t="s">
        <v>390</v>
      </c>
      <c r="E34" s="154"/>
      <c r="F34" s="154"/>
      <c r="G34" s="221"/>
      <c r="H34" s="1">
        <v>2020</v>
      </c>
      <c r="I34" s="75" t="s">
        <v>33</v>
      </c>
      <c r="J34" s="75">
        <v>10</v>
      </c>
      <c r="K34" s="155">
        <v>0.48802129547473011</v>
      </c>
      <c r="L34" s="24" t="s">
        <v>394</v>
      </c>
      <c r="M34" s="91">
        <v>0.42442576483237221</v>
      </c>
      <c r="N34" s="56">
        <v>1.181971459290392</v>
      </c>
      <c r="O34" s="56">
        <v>4.3999462418140949</v>
      </c>
      <c r="P34" s="56">
        <v>3.5200469162349717</v>
      </c>
      <c r="Q34" s="55">
        <v>10.142293030984263</v>
      </c>
      <c r="R34" s="56">
        <v>9.274254716059037</v>
      </c>
      <c r="S34" s="56">
        <v>3.0173883295865505</v>
      </c>
      <c r="T34" s="55">
        <v>31.960326458801681</v>
      </c>
      <c r="U34" s="5">
        <f>SUM(M34,N34,O34,Q34,R34,S34)*(5/K34)</f>
        <v>291.38359131337694</v>
      </c>
      <c r="V34" s="217" t="s">
        <v>234</v>
      </c>
      <c r="W34" s="6">
        <v>0.10411514286560092</v>
      </c>
      <c r="X34" s="217">
        <v>4.1398770456570887E-2</v>
      </c>
      <c r="Y34" s="217">
        <v>4.1745149915739507E-2</v>
      </c>
      <c r="Z34" s="217" t="s">
        <v>234</v>
      </c>
      <c r="AA34" s="217" t="s">
        <v>235</v>
      </c>
      <c r="AB34" s="217" t="s">
        <v>234</v>
      </c>
      <c r="AC34" s="217" t="s">
        <v>236</v>
      </c>
      <c r="AD34" s="6">
        <v>0.18725906323791131</v>
      </c>
      <c r="AE34" s="24">
        <f t="shared" si="4"/>
        <v>0.18725906323791133</v>
      </c>
      <c r="AF34" s="153" t="s">
        <v>395</v>
      </c>
      <c r="AG34" s="157" t="s">
        <v>395</v>
      </c>
      <c r="AH34" s="86">
        <v>7.5599953938277311</v>
      </c>
      <c r="AI34" s="85" t="s">
        <v>208</v>
      </c>
      <c r="AJ34" s="85" t="s">
        <v>36</v>
      </c>
      <c r="AK34" s="85" t="s">
        <v>209</v>
      </c>
      <c r="AL34" s="85" t="s">
        <v>133</v>
      </c>
      <c r="AM34" s="85" t="s">
        <v>133</v>
      </c>
      <c r="AN34" s="85">
        <v>0.7406571472439738</v>
      </c>
      <c r="AO34" s="85">
        <v>0.21303546752648556</v>
      </c>
      <c r="AP34" s="85" t="s">
        <v>395</v>
      </c>
      <c r="AQ34" s="85">
        <v>0.65882081989866437</v>
      </c>
      <c r="AR34" s="85" t="s">
        <v>133</v>
      </c>
      <c r="AS34" s="86">
        <v>1.2259941655151239</v>
      </c>
      <c r="AT34" s="85">
        <v>0.73485337018271168</v>
      </c>
      <c r="AU34" s="85" t="s">
        <v>212</v>
      </c>
      <c r="AV34" s="85" t="s">
        <v>133</v>
      </c>
      <c r="AW34" s="85" t="s">
        <v>133</v>
      </c>
      <c r="AX34" s="85" t="s">
        <v>133</v>
      </c>
      <c r="AY34" s="85" t="s">
        <v>133</v>
      </c>
      <c r="AZ34" s="85" t="s">
        <v>133</v>
      </c>
      <c r="BA34" s="85" t="s">
        <v>133</v>
      </c>
      <c r="BB34" s="85" t="s">
        <v>133</v>
      </c>
      <c r="BC34" s="205" t="s">
        <v>395</v>
      </c>
      <c r="BD34" s="205" t="s">
        <v>395</v>
      </c>
      <c r="BE34" s="205" t="s">
        <v>395</v>
      </c>
      <c r="BF34" s="205" t="s">
        <v>395</v>
      </c>
      <c r="BG34" s="205" t="s">
        <v>395</v>
      </c>
      <c r="BH34" s="205" t="s">
        <v>395</v>
      </c>
      <c r="BI34" s="205" t="s">
        <v>395</v>
      </c>
      <c r="BJ34" s="219" t="s">
        <v>395</v>
      </c>
      <c r="BK34" s="221" t="s">
        <v>395</v>
      </c>
      <c r="BL34" s="153" t="s">
        <v>395</v>
      </c>
      <c r="BM34" s="156" t="s">
        <v>395</v>
      </c>
      <c r="BN34" s="182">
        <v>200</v>
      </c>
      <c r="BO34" s="5" t="s">
        <v>395</v>
      </c>
      <c r="BP34" s="5" t="s">
        <v>395</v>
      </c>
      <c r="BQ34" s="5" t="s">
        <v>395</v>
      </c>
      <c r="BR34" s="5" t="s">
        <v>395</v>
      </c>
      <c r="BS34" s="5" t="s">
        <v>395</v>
      </c>
      <c r="BT34" s="5" t="s">
        <v>395</v>
      </c>
      <c r="BU34" s="5" t="s">
        <v>395</v>
      </c>
      <c r="BV34" s="5" t="s">
        <v>395</v>
      </c>
      <c r="BW34" s="5" t="s">
        <v>395</v>
      </c>
      <c r="BX34" s="5" t="s">
        <v>395</v>
      </c>
      <c r="BY34" s="5" t="s">
        <v>395</v>
      </c>
      <c r="BZ34" s="5" t="s">
        <v>395</v>
      </c>
      <c r="CA34" s="5" t="s">
        <v>395</v>
      </c>
      <c r="CB34" s="5" t="s">
        <v>395</v>
      </c>
      <c r="CC34" s="5" t="s">
        <v>395</v>
      </c>
      <c r="CD34" s="5" t="s">
        <v>395</v>
      </c>
      <c r="CE34" s="5" t="s">
        <v>395</v>
      </c>
      <c r="CF34" s="5" t="s">
        <v>395</v>
      </c>
      <c r="CG34" s="5" t="s">
        <v>395</v>
      </c>
      <c r="CH34" s="5" t="s">
        <v>395</v>
      </c>
      <c r="CI34" s="220" t="s">
        <v>395</v>
      </c>
      <c r="CJ34" s="220" t="s">
        <v>395</v>
      </c>
      <c r="CK34" s="220" t="s">
        <v>395</v>
      </c>
      <c r="CL34" s="220" t="s">
        <v>395</v>
      </c>
      <c r="CM34" s="220" t="s">
        <v>395</v>
      </c>
      <c r="CN34" s="220" t="s">
        <v>395</v>
      </c>
      <c r="CO34" s="220" t="s">
        <v>395</v>
      </c>
      <c r="CP34" s="220" t="s">
        <v>395</v>
      </c>
      <c r="CQ34" s="57" t="s">
        <v>395</v>
      </c>
      <c r="CR34" s="57" t="s">
        <v>395</v>
      </c>
      <c r="CS34" s="57" t="s">
        <v>395</v>
      </c>
      <c r="CT34" s="57" t="s">
        <v>395</v>
      </c>
      <c r="CU34" s="57" t="s">
        <v>395</v>
      </c>
      <c r="CV34" s="57" t="s">
        <v>395</v>
      </c>
      <c r="CW34" s="57" t="s">
        <v>395</v>
      </c>
      <c r="CX34" s="57" t="s">
        <v>395</v>
      </c>
      <c r="CY34" s="59" t="s">
        <v>395</v>
      </c>
    </row>
    <row r="35" spans="1:112" s="152" customFormat="1" x14ac:dyDescent="0.3">
      <c r="A35" s="153" t="s">
        <v>392</v>
      </c>
      <c r="B35" s="153" t="s">
        <v>203</v>
      </c>
      <c r="C35" s="205" t="s">
        <v>20</v>
      </c>
      <c r="D35" s="153" t="s">
        <v>385</v>
      </c>
      <c r="E35" s="154"/>
      <c r="F35" s="154"/>
      <c r="G35" s="221"/>
      <c r="H35" s="1">
        <v>2022</v>
      </c>
      <c r="I35" s="75" t="s">
        <v>33</v>
      </c>
      <c r="J35" s="75">
        <v>10</v>
      </c>
      <c r="K35" s="155">
        <v>0.65298118245927905</v>
      </c>
      <c r="L35" s="24" t="s">
        <v>394</v>
      </c>
      <c r="M35" s="91">
        <v>0.50920195439739413</v>
      </c>
      <c r="N35" s="56">
        <v>1.6076496335504886</v>
      </c>
      <c r="O35" s="56">
        <v>8.7354896172638448</v>
      </c>
      <c r="P35" s="56">
        <v>7.0583978013029318</v>
      </c>
      <c r="Q35" s="55">
        <v>18.717385993485344</v>
      </c>
      <c r="R35" s="55">
        <v>16.367324918566776</v>
      </c>
      <c r="S35" s="56">
        <v>4.8859527687296422</v>
      </c>
      <c r="T35" s="55">
        <v>57.881402687296422</v>
      </c>
      <c r="U35" s="5">
        <f t="shared" si="3"/>
        <v>389.16132846724793</v>
      </c>
      <c r="V35" s="217" t="s">
        <v>237</v>
      </c>
      <c r="W35" s="6">
        <v>0.16128667309218528</v>
      </c>
      <c r="X35" s="217">
        <v>4.9141992010761013E-2</v>
      </c>
      <c r="Y35" s="217">
        <v>5.7576874943663855E-2</v>
      </c>
      <c r="Z35" s="217">
        <v>2.0729818529981577E-2</v>
      </c>
      <c r="AA35" s="217">
        <v>1.3734975764403247E-2</v>
      </c>
      <c r="AB35" s="217">
        <v>3.8724312005625157E-2</v>
      </c>
      <c r="AC35" s="217" t="s">
        <v>238</v>
      </c>
      <c r="AD35" s="6">
        <v>0.34119464634662011</v>
      </c>
      <c r="AE35" s="24">
        <f t="shared" si="4"/>
        <v>0.32046482781663854</v>
      </c>
      <c r="AF35" s="153" t="s">
        <v>395</v>
      </c>
      <c r="AG35" s="157" t="s">
        <v>395</v>
      </c>
      <c r="AH35" s="86">
        <v>3.6754012645914393</v>
      </c>
      <c r="AI35" s="85" t="s">
        <v>208</v>
      </c>
      <c r="AJ35" s="85">
        <v>8.2941526156506698E-2</v>
      </c>
      <c r="AK35" s="85" t="s">
        <v>209</v>
      </c>
      <c r="AL35" s="85" t="s">
        <v>133</v>
      </c>
      <c r="AM35" s="85" t="s">
        <v>133</v>
      </c>
      <c r="AN35" s="85">
        <v>0.53792423259835709</v>
      </c>
      <c r="AO35" s="85">
        <v>8.5400453955901429E-2</v>
      </c>
      <c r="AP35" s="85" t="s">
        <v>395</v>
      </c>
      <c r="AQ35" s="85">
        <v>0.24189364461738003</v>
      </c>
      <c r="AR35" s="85" t="s">
        <v>133</v>
      </c>
      <c r="AS35" s="85">
        <v>0.40881701253782965</v>
      </c>
      <c r="AT35" s="85">
        <v>0.33461683960224814</v>
      </c>
      <c r="AU35" s="85" t="s">
        <v>212</v>
      </c>
      <c r="AV35" s="85" t="s">
        <v>133</v>
      </c>
      <c r="AW35" s="85" t="s">
        <v>133</v>
      </c>
      <c r="AX35" s="85" t="s">
        <v>133</v>
      </c>
      <c r="AY35" s="85" t="s">
        <v>133</v>
      </c>
      <c r="AZ35" s="85" t="s">
        <v>133</v>
      </c>
      <c r="BA35" s="85" t="s">
        <v>133</v>
      </c>
      <c r="BB35" s="85" t="s">
        <v>133</v>
      </c>
      <c r="BC35" s="205" t="s">
        <v>395</v>
      </c>
      <c r="BD35" s="205" t="s">
        <v>395</v>
      </c>
      <c r="BE35" s="205" t="s">
        <v>395</v>
      </c>
      <c r="BF35" s="205" t="s">
        <v>395</v>
      </c>
      <c r="BG35" s="205" t="s">
        <v>395</v>
      </c>
      <c r="BH35" s="205" t="s">
        <v>395</v>
      </c>
      <c r="BI35" s="205" t="s">
        <v>395</v>
      </c>
      <c r="BJ35" s="219" t="s">
        <v>395</v>
      </c>
      <c r="BK35" s="221" t="s">
        <v>395</v>
      </c>
      <c r="BL35" s="153" t="s">
        <v>395</v>
      </c>
      <c r="BM35" s="156" t="s">
        <v>395</v>
      </c>
      <c r="BN35" s="182">
        <v>260</v>
      </c>
      <c r="BO35" s="5" t="s">
        <v>395</v>
      </c>
      <c r="BP35" s="5" t="s">
        <v>395</v>
      </c>
      <c r="BQ35" s="5" t="s">
        <v>395</v>
      </c>
      <c r="BR35" s="5" t="s">
        <v>395</v>
      </c>
      <c r="BS35" s="5" t="s">
        <v>395</v>
      </c>
      <c r="BT35" s="5" t="s">
        <v>395</v>
      </c>
      <c r="BU35" s="5" t="s">
        <v>395</v>
      </c>
      <c r="BV35" s="5" t="s">
        <v>395</v>
      </c>
      <c r="BW35" s="5" t="s">
        <v>395</v>
      </c>
      <c r="BX35" s="5" t="s">
        <v>395</v>
      </c>
      <c r="BY35" s="5" t="s">
        <v>395</v>
      </c>
      <c r="BZ35" s="5" t="s">
        <v>395</v>
      </c>
      <c r="CA35" s="5" t="s">
        <v>395</v>
      </c>
      <c r="CB35" s="5" t="s">
        <v>395</v>
      </c>
      <c r="CC35" s="5" t="s">
        <v>395</v>
      </c>
      <c r="CD35" s="5" t="s">
        <v>395</v>
      </c>
      <c r="CE35" s="5" t="s">
        <v>395</v>
      </c>
      <c r="CF35" s="5" t="s">
        <v>395</v>
      </c>
      <c r="CG35" s="5" t="s">
        <v>395</v>
      </c>
      <c r="CH35" s="5" t="s">
        <v>395</v>
      </c>
      <c r="CI35" s="220" t="s">
        <v>395</v>
      </c>
      <c r="CJ35" s="220" t="s">
        <v>395</v>
      </c>
      <c r="CK35" s="220" t="s">
        <v>395</v>
      </c>
      <c r="CL35" s="220" t="s">
        <v>395</v>
      </c>
      <c r="CM35" s="220" t="s">
        <v>395</v>
      </c>
      <c r="CN35" s="220" t="s">
        <v>395</v>
      </c>
      <c r="CO35" s="220" t="s">
        <v>395</v>
      </c>
      <c r="CP35" s="220" t="s">
        <v>395</v>
      </c>
      <c r="CQ35" s="57" t="s">
        <v>395</v>
      </c>
      <c r="CR35" s="57" t="s">
        <v>395</v>
      </c>
      <c r="CS35" s="57" t="s">
        <v>395</v>
      </c>
      <c r="CT35" s="57" t="s">
        <v>395</v>
      </c>
      <c r="CU35" s="57" t="s">
        <v>395</v>
      </c>
      <c r="CV35" s="57" t="s">
        <v>395</v>
      </c>
      <c r="CW35" s="57" t="s">
        <v>395</v>
      </c>
      <c r="CX35" s="57" t="s">
        <v>395</v>
      </c>
      <c r="CY35" s="59" t="s">
        <v>395</v>
      </c>
    </row>
    <row r="36" spans="1:112" s="152" customFormat="1" x14ac:dyDescent="0.3">
      <c r="A36" s="153" t="s">
        <v>388</v>
      </c>
      <c r="B36" s="153" t="s">
        <v>204</v>
      </c>
      <c r="C36" s="205" t="s">
        <v>20</v>
      </c>
      <c r="D36" s="153" t="s">
        <v>386</v>
      </c>
      <c r="E36" s="159"/>
      <c r="F36" s="159"/>
      <c r="G36" s="221"/>
      <c r="H36" s="1">
        <v>2022</v>
      </c>
      <c r="I36" s="75" t="s">
        <v>33</v>
      </c>
      <c r="J36" s="75">
        <v>10</v>
      </c>
      <c r="K36" s="155">
        <v>0.73058563278617705</v>
      </c>
      <c r="L36" s="24" t="s">
        <v>394</v>
      </c>
      <c r="M36" s="224">
        <v>1.6602198697068405E-2</v>
      </c>
      <c r="N36" s="224">
        <v>6.4296620521172645E-2</v>
      </c>
      <c r="O36" s="91">
        <v>0.6523259364820847</v>
      </c>
      <c r="P36" s="91">
        <v>0.52186482084690555</v>
      </c>
      <c r="Q36" s="56">
        <v>2.4447068403908796</v>
      </c>
      <c r="R36" s="56">
        <v>1.9870724755700326</v>
      </c>
      <c r="S36" s="91">
        <v>0.77715798045602613</v>
      </c>
      <c r="T36" s="56">
        <v>6.4640268729641699</v>
      </c>
      <c r="U36" s="5">
        <f t="shared" si="3"/>
        <v>40.667115430781934</v>
      </c>
      <c r="V36" s="226" t="s">
        <v>239</v>
      </c>
      <c r="W36" s="226">
        <v>5.9307689370571882E-2</v>
      </c>
      <c r="X36" s="226">
        <v>2.3686840116865653E-2</v>
      </c>
      <c r="Y36" s="226">
        <v>2.6736920990871979E-2</v>
      </c>
      <c r="Z36" s="226" t="s">
        <v>239</v>
      </c>
      <c r="AA36" s="226" t="s">
        <v>240</v>
      </c>
      <c r="AB36" s="226" t="s">
        <v>239</v>
      </c>
      <c r="AC36" s="217" t="s">
        <v>241</v>
      </c>
      <c r="AD36" s="6">
        <v>0.10973145047830951</v>
      </c>
      <c r="AE36" s="24">
        <f t="shared" si="4"/>
        <v>0.10973145047830953</v>
      </c>
      <c r="AF36" s="153" t="s">
        <v>395</v>
      </c>
      <c r="AG36" s="160" t="s">
        <v>395</v>
      </c>
      <c r="AH36" s="84">
        <v>25.227138223410918</v>
      </c>
      <c r="AI36" s="85" t="s">
        <v>208</v>
      </c>
      <c r="AJ36" s="85">
        <v>7.8662341850186848E-2</v>
      </c>
      <c r="AK36" s="85" t="s">
        <v>209</v>
      </c>
      <c r="AL36" s="85" t="s">
        <v>133</v>
      </c>
      <c r="AM36" s="85" t="s">
        <v>133</v>
      </c>
      <c r="AN36" s="86">
        <v>1.3403327073730535</v>
      </c>
      <c r="AO36" s="85">
        <v>0.41603596426335859</v>
      </c>
      <c r="AP36" s="85" t="s">
        <v>395</v>
      </c>
      <c r="AQ36" s="85">
        <v>0.62425311557502994</v>
      </c>
      <c r="AR36" s="85" t="s">
        <v>133</v>
      </c>
      <c r="AS36" s="85">
        <v>0.52332176255240048</v>
      </c>
      <c r="AT36" s="85">
        <v>0.18372882641931751</v>
      </c>
      <c r="AU36" s="85" t="s">
        <v>212</v>
      </c>
      <c r="AV36" s="85" t="s">
        <v>133</v>
      </c>
      <c r="AW36" s="85" t="s">
        <v>133</v>
      </c>
      <c r="AX36" s="85" t="s">
        <v>133</v>
      </c>
      <c r="AY36" s="85" t="s">
        <v>133</v>
      </c>
      <c r="AZ36" s="85" t="s">
        <v>133</v>
      </c>
      <c r="BA36" s="85" t="s">
        <v>133</v>
      </c>
      <c r="BB36" s="85" t="s">
        <v>133</v>
      </c>
      <c r="BC36" s="205" t="s">
        <v>395</v>
      </c>
      <c r="BD36" s="205" t="s">
        <v>395</v>
      </c>
      <c r="BE36" s="205" t="s">
        <v>395</v>
      </c>
      <c r="BF36" s="205" t="s">
        <v>395</v>
      </c>
      <c r="BG36" s="205" t="s">
        <v>395</v>
      </c>
      <c r="BH36" s="205" t="s">
        <v>395</v>
      </c>
      <c r="BI36" s="205" t="s">
        <v>395</v>
      </c>
      <c r="BJ36" s="219" t="s">
        <v>395</v>
      </c>
      <c r="BK36" s="221" t="s">
        <v>395</v>
      </c>
      <c r="BL36" s="153" t="s">
        <v>395</v>
      </c>
      <c r="BM36" s="156" t="s">
        <v>395</v>
      </c>
      <c r="BN36" s="182">
        <v>140</v>
      </c>
      <c r="BO36" s="5" t="s">
        <v>395</v>
      </c>
      <c r="BP36" s="5" t="s">
        <v>395</v>
      </c>
      <c r="BQ36" s="5" t="s">
        <v>395</v>
      </c>
      <c r="BR36" s="5" t="s">
        <v>395</v>
      </c>
      <c r="BS36" s="5" t="s">
        <v>395</v>
      </c>
      <c r="BT36" s="5" t="s">
        <v>395</v>
      </c>
      <c r="BU36" s="5" t="s">
        <v>395</v>
      </c>
      <c r="BV36" s="5" t="s">
        <v>395</v>
      </c>
      <c r="BW36" s="5" t="s">
        <v>395</v>
      </c>
      <c r="BX36" s="5" t="s">
        <v>395</v>
      </c>
      <c r="BY36" s="5" t="s">
        <v>395</v>
      </c>
      <c r="BZ36" s="5" t="s">
        <v>395</v>
      </c>
      <c r="CA36" s="5" t="s">
        <v>395</v>
      </c>
      <c r="CB36" s="5" t="s">
        <v>395</v>
      </c>
      <c r="CC36" s="5" t="s">
        <v>395</v>
      </c>
      <c r="CD36" s="5" t="s">
        <v>395</v>
      </c>
      <c r="CE36" s="5" t="s">
        <v>395</v>
      </c>
      <c r="CF36" s="5" t="s">
        <v>395</v>
      </c>
      <c r="CG36" s="5" t="s">
        <v>395</v>
      </c>
      <c r="CH36" s="5" t="s">
        <v>395</v>
      </c>
      <c r="CI36" s="220" t="s">
        <v>395</v>
      </c>
      <c r="CJ36" s="220" t="s">
        <v>395</v>
      </c>
      <c r="CK36" s="220" t="s">
        <v>395</v>
      </c>
      <c r="CL36" s="220" t="s">
        <v>395</v>
      </c>
      <c r="CM36" s="220" t="s">
        <v>395</v>
      </c>
      <c r="CN36" s="220" t="s">
        <v>395</v>
      </c>
      <c r="CO36" s="220" t="s">
        <v>395</v>
      </c>
      <c r="CP36" s="220" t="s">
        <v>395</v>
      </c>
      <c r="CQ36" s="57" t="s">
        <v>395</v>
      </c>
      <c r="CR36" s="57" t="s">
        <v>395</v>
      </c>
      <c r="CS36" s="57" t="s">
        <v>395</v>
      </c>
      <c r="CT36" s="57" t="s">
        <v>395</v>
      </c>
      <c r="CU36" s="57" t="s">
        <v>395</v>
      </c>
      <c r="CV36" s="57" t="s">
        <v>395</v>
      </c>
      <c r="CW36" s="57" t="s">
        <v>395</v>
      </c>
      <c r="CX36" s="57" t="s">
        <v>395</v>
      </c>
      <c r="CY36" s="59" t="s">
        <v>395</v>
      </c>
    </row>
    <row r="37" spans="1:112" x14ac:dyDescent="0.3">
      <c r="A37" s="153" t="s">
        <v>27</v>
      </c>
      <c r="B37" s="153" t="s">
        <v>27</v>
      </c>
      <c r="C37" s="205" t="s">
        <v>20</v>
      </c>
      <c r="D37" s="153"/>
      <c r="E37" s="159"/>
      <c r="F37" s="159"/>
      <c r="G37" s="245">
        <v>45201</v>
      </c>
      <c r="H37" s="1">
        <v>2023</v>
      </c>
      <c r="I37" s="75" t="s">
        <v>33</v>
      </c>
      <c r="J37" s="75">
        <v>10</v>
      </c>
      <c r="K37" s="155">
        <v>0.61740590733972145</v>
      </c>
      <c r="L37" s="24" t="s">
        <v>394</v>
      </c>
      <c r="M37" s="224">
        <v>7.8784552439876254E-2</v>
      </c>
      <c r="N37" s="91">
        <v>0.20930046901506835</v>
      </c>
      <c r="O37" s="91">
        <v>0.27039217642949803</v>
      </c>
      <c r="P37" s="91">
        <v>0.34141303263147388</v>
      </c>
      <c r="Q37" s="91">
        <v>0.60452549645743936</v>
      </c>
      <c r="R37" s="91">
        <v>0.5178425306855603</v>
      </c>
      <c r="S37" s="91">
        <v>0.11912483784053486</v>
      </c>
      <c r="T37" s="56">
        <v>2.1413830954994513</v>
      </c>
      <c r="U37" s="5">
        <f t="shared" si="3"/>
        <v>14.576877557130027</v>
      </c>
      <c r="V37" s="226" t="s">
        <v>242</v>
      </c>
      <c r="W37" s="227">
        <v>2.6367171829684042E-2</v>
      </c>
      <c r="X37" s="212">
        <v>6.808038361600416E-3</v>
      </c>
      <c r="Y37" s="226">
        <v>1.377765595311382E-2</v>
      </c>
      <c r="Z37" s="227" t="s">
        <v>242</v>
      </c>
      <c r="AA37" s="227" t="s">
        <v>243</v>
      </c>
      <c r="AB37" s="227" t="s">
        <v>242</v>
      </c>
      <c r="AC37" s="217" t="s">
        <v>244</v>
      </c>
      <c r="AD37" s="217">
        <v>4.6952866144398281E-2</v>
      </c>
      <c r="AE37" s="24">
        <f t="shared" si="4"/>
        <v>4.6952866144398281E-2</v>
      </c>
      <c r="AF37" s="153" t="s">
        <v>395</v>
      </c>
      <c r="AG37" s="160" t="s">
        <v>395</v>
      </c>
      <c r="AH37" s="86">
        <v>5.3173383187924124</v>
      </c>
      <c r="AI37" s="85" t="s">
        <v>208</v>
      </c>
      <c r="AJ37" s="85" t="s">
        <v>36</v>
      </c>
      <c r="AK37" s="85" t="s">
        <v>209</v>
      </c>
      <c r="AL37" s="85" t="s">
        <v>133</v>
      </c>
      <c r="AM37" s="85" t="s">
        <v>133</v>
      </c>
      <c r="AN37" s="85">
        <v>0.2398867500653957</v>
      </c>
      <c r="AO37" s="85" t="s">
        <v>133</v>
      </c>
      <c r="AP37" s="85" t="s">
        <v>395</v>
      </c>
      <c r="AQ37" s="85">
        <v>0.15851913400729359</v>
      </c>
      <c r="AR37" s="85" t="s">
        <v>133</v>
      </c>
      <c r="AS37" s="85" t="s">
        <v>219</v>
      </c>
      <c r="AT37" s="85" t="s">
        <v>220</v>
      </c>
      <c r="AU37" s="85" t="s">
        <v>212</v>
      </c>
      <c r="AV37" s="85" t="s">
        <v>133</v>
      </c>
      <c r="AW37" s="85" t="s">
        <v>133</v>
      </c>
      <c r="AX37" s="85" t="s">
        <v>133</v>
      </c>
      <c r="AY37" s="85" t="s">
        <v>133</v>
      </c>
      <c r="AZ37" s="85" t="s">
        <v>133</v>
      </c>
      <c r="BA37" s="85" t="s">
        <v>133</v>
      </c>
      <c r="BB37" s="85" t="s">
        <v>133</v>
      </c>
      <c r="BC37" s="205" t="s">
        <v>395</v>
      </c>
      <c r="BD37" s="205" t="s">
        <v>395</v>
      </c>
      <c r="BE37" s="205" t="s">
        <v>395</v>
      </c>
      <c r="BF37" s="205" t="s">
        <v>395</v>
      </c>
      <c r="BG37" s="205" t="s">
        <v>395</v>
      </c>
      <c r="BH37" s="205" t="s">
        <v>395</v>
      </c>
      <c r="BI37" s="205" t="s">
        <v>395</v>
      </c>
      <c r="BJ37" s="219" t="s">
        <v>395</v>
      </c>
      <c r="BK37" s="221" t="s">
        <v>395</v>
      </c>
      <c r="BL37" s="153" t="s">
        <v>395</v>
      </c>
      <c r="BM37" s="156" t="s">
        <v>395</v>
      </c>
      <c r="BN37" s="182">
        <v>55</v>
      </c>
      <c r="BO37" s="5" t="s">
        <v>395</v>
      </c>
      <c r="BP37" s="5" t="s">
        <v>395</v>
      </c>
      <c r="BQ37" s="5" t="s">
        <v>395</v>
      </c>
      <c r="BR37" s="5" t="s">
        <v>395</v>
      </c>
      <c r="BS37" s="5" t="s">
        <v>395</v>
      </c>
      <c r="BT37" s="5" t="s">
        <v>395</v>
      </c>
      <c r="BU37" s="5" t="s">
        <v>395</v>
      </c>
      <c r="BV37" s="5" t="s">
        <v>395</v>
      </c>
      <c r="BW37" s="5" t="s">
        <v>395</v>
      </c>
      <c r="BX37" s="5" t="s">
        <v>395</v>
      </c>
      <c r="BY37" s="5" t="s">
        <v>395</v>
      </c>
      <c r="BZ37" s="5" t="s">
        <v>395</v>
      </c>
      <c r="CA37" s="5" t="s">
        <v>395</v>
      </c>
      <c r="CB37" s="5" t="s">
        <v>395</v>
      </c>
      <c r="CC37" s="5" t="s">
        <v>395</v>
      </c>
      <c r="CD37" s="5" t="s">
        <v>395</v>
      </c>
      <c r="CE37" s="5" t="s">
        <v>395</v>
      </c>
      <c r="CF37" s="5" t="s">
        <v>395</v>
      </c>
      <c r="CG37" s="5" t="s">
        <v>395</v>
      </c>
      <c r="CH37" s="5" t="s">
        <v>395</v>
      </c>
      <c r="CI37" s="220" t="s">
        <v>395</v>
      </c>
      <c r="CJ37" s="220" t="s">
        <v>395</v>
      </c>
      <c r="CK37" s="220" t="s">
        <v>395</v>
      </c>
      <c r="CL37" s="220" t="s">
        <v>395</v>
      </c>
      <c r="CM37" s="220" t="s">
        <v>395</v>
      </c>
      <c r="CN37" s="220" t="s">
        <v>395</v>
      </c>
      <c r="CO37" s="220" t="s">
        <v>395</v>
      </c>
      <c r="CP37" s="220" t="s">
        <v>395</v>
      </c>
      <c r="CQ37" s="57" t="s">
        <v>395</v>
      </c>
      <c r="CR37" s="57" t="s">
        <v>395</v>
      </c>
      <c r="CS37" s="57" t="s">
        <v>395</v>
      </c>
      <c r="CT37" s="57" t="s">
        <v>395</v>
      </c>
      <c r="CU37" s="57" t="s">
        <v>395</v>
      </c>
      <c r="CV37" s="57" t="s">
        <v>395</v>
      </c>
      <c r="CW37" s="57" t="s">
        <v>395</v>
      </c>
      <c r="CX37" s="57" t="s">
        <v>395</v>
      </c>
      <c r="CY37" s="59" t="s">
        <v>395</v>
      </c>
    </row>
    <row r="38" spans="1:112" x14ac:dyDescent="0.3">
      <c r="A38" s="153" t="s">
        <v>9</v>
      </c>
      <c r="B38" s="153" t="s">
        <v>9</v>
      </c>
      <c r="C38" s="205" t="s">
        <v>20</v>
      </c>
      <c r="D38" s="153"/>
      <c r="E38" s="159"/>
      <c r="F38" s="159"/>
      <c r="G38" s="221"/>
      <c r="H38" s="1">
        <v>2023</v>
      </c>
      <c r="I38" s="75" t="s">
        <v>33</v>
      </c>
      <c r="J38" s="75">
        <v>10</v>
      </c>
      <c r="K38" s="155">
        <v>0.44437736861528004</v>
      </c>
      <c r="L38" s="24" t="s">
        <v>394</v>
      </c>
      <c r="M38" s="224">
        <v>1.8747478822105687E-2</v>
      </c>
      <c r="N38" s="224">
        <v>4.3944130697862037E-2</v>
      </c>
      <c r="O38" s="91">
        <v>0.50328257361839446</v>
      </c>
      <c r="P38" s="91">
        <v>0.3623537716821299</v>
      </c>
      <c r="Q38" s="56">
        <v>1.7941306978620413</v>
      </c>
      <c r="R38" s="56">
        <v>1.4217123840258168</v>
      </c>
      <c r="S38" s="91">
        <v>0.55446752722872128</v>
      </c>
      <c r="T38" s="56">
        <v>4.6986385639370711</v>
      </c>
      <c r="U38" s="5">
        <f t="shared" si="3"/>
        <v>48.790567415338863</v>
      </c>
      <c r="V38" s="217" t="s">
        <v>245</v>
      </c>
      <c r="W38" s="217">
        <v>3.5733829420005081E-2</v>
      </c>
      <c r="X38" s="217">
        <v>1.3955212647096787E-2</v>
      </c>
      <c r="Y38" s="217">
        <v>1.6885135579140641E-2</v>
      </c>
      <c r="Z38" s="217" t="s">
        <v>245</v>
      </c>
      <c r="AA38" s="217" t="s">
        <v>246</v>
      </c>
      <c r="AB38" s="217" t="s">
        <v>245</v>
      </c>
      <c r="AC38" s="217" t="s">
        <v>247</v>
      </c>
      <c r="AD38" s="217">
        <v>6.6574177646242516E-2</v>
      </c>
      <c r="AE38" s="24">
        <f t="shared" si="4"/>
        <v>6.6574177646242516E-2</v>
      </c>
      <c r="AF38" s="153" t="s">
        <v>395</v>
      </c>
      <c r="AG38" s="160" t="s">
        <v>395</v>
      </c>
      <c r="AH38" s="86">
        <v>2.1739130434782612</v>
      </c>
      <c r="AI38" s="85" t="s">
        <v>248</v>
      </c>
      <c r="AJ38" s="85">
        <v>0.22068885921089512</v>
      </c>
      <c r="AK38" s="85" t="s">
        <v>133</v>
      </c>
      <c r="AL38" s="85" t="s">
        <v>133</v>
      </c>
      <c r="AM38" s="85" t="s">
        <v>133</v>
      </c>
      <c r="AN38" s="85">
        <v>0.48414700499579566</v>
      </c>
      <c r="AO38" s="85" t="s">
        <v>133</v>
      </c>
      <c r="AP38" s="85" t="s">
        <v>395</v>
      </c>
      <c r="AQ38" s="85">
        <v>0.23869350876325207</v>
      </c>
      <c r="AR38" s="85" t="s">
        <v>133</v>
      </c>
      <c r="AS38" s="85">
        <v>0.10443356251339632</v>
      </c>
      <c r="AT38" s="85" t="s">
        <v>249</v>
      </c>
      <c r="AU38" s="85" t="s">
        <v>250</v>
      </c>
      <c r="AV38" s="85" t="s">
        <v>133</v>
      </c>
      <c r="AW38" s="85" t="s">
        <v>133</v>
      </c>
      <c r="AX38" s="85" t="s">
        <v>133</v>
      </c>
      <c r="AY38" s="85" t="s">
        <v>133</v>
      </c>
      <c r="AZ38" s="85" t="s">
        <v>133</v>
      </c>
      <c r="BA38" s="85" t="s">
        <v>133</v>
      </c>
      <c r="BB38" s="85" t="s">
        <v>133</v>
      </c>
      <c r="BC38" s="205" t="s">
        <v>395</v>
      </c>
      <c r="BD38" s="205" t="s">
        <v>395</v>
      </c>
      <c r="BE38" s="205" t="s">
        <v>395</v>
      </c>
      <c r="BF38" s="205" t="s">
        <v>395</v>
      </c>
      <c r="BG38" s="205" t="s">
        <v>395</v>
      </c>
      <c r="BH38" s="205" t="s">
        <v>395</v>
      </c>
      <c r="BI38" s="205" t="s">
        <v>395</v>
      </c>
      <c r="BJ38" s="219" t="s">
        <v>395</v>
      </c>
      <c r="BK38" s="221" t="s">
        <v>395</v>
      </c>
      <c r="BL38" s="153" t="s">
        <v>395</v>
      </c>
      <c r="BM38" s="156" t="s">
        <v>395</v>
      </c>
      <c r="BN38" s="182">
        <v>31</v>
      </c>
      <c r="BO38" s="5" t="s">
        <v>395</v>
      </c>
      <c r="BP38" s="5" t="s">
        <v>395</v>
      </c>
      <c r="BQ38" s="5" t="s">
        <v>395</v>
      </c>
      <c r="BR38" s="5" t="s">
        <v>395</v>
      </c>
      <c r="BS38" s="5" t="s">
        <v>395</v>
      </c>
      <c r="BT38" s="5" t="s">
        <v>395</v>
      </c>
      <c r="BU38" s="5" t="s">
        <v>395</v>
      </c>
      <c r="BV38" s="5" t="s">
        <v>395</v>
      </c>
      <c r="BW38" s="5" t="s">
        <v>395</v>
      </c>
      <c r="BX38" s="5" t="s">
        <v>395</v>
      </c>
      <c r="BY38" s="5" t="s">
        <v>395</v>
      </c>
      <c r="BZ38" s="5" t="s">
        <v>395</v>
      </c>
      <c r="CA38" s="5" t="s">
        <v>395</v>
      </c>
      <c r="CB38" s="5" t="s">
        <v>395</v>
      </c>
      <c r="CC38" s="5" t="s">
        <v>395</v>
      </c>
      <c r="CD38" s="5" t="s">
        <v>395</v>
      </c>
      <c r="CE38" s="5" t="s">
        <v>395</v>
      </c>
      <c r="CF38" s="5" t="s">
        <v>395</v>
      </c>
      <c r="CG38" s="5" t="s">
        <v>395</v>
      </c>
      <c r="CH38" s="5" t="s">
        <v>395</v>
      </c>
      <c r="CI38" s="220" t="s">
        <v>395</v>
      </c>
      <c r="CJ38" s="220" t="s">
        <v>395</v>
      </c>
      <c r="CK38" s="220" t="s">
        <v>395</v>
      </c>
      <c r="CL38" s="220" t="s">
        <v>395</v>
      </c>
      <c r="CM38" s="220" t="s">
        <v>395</v>
      </c>
      <c r="CN38" s="220" t="s">
        <v>395</v>
      </c>
      <c r="CO38" s="220" t="s">
        <v>395</v>
      </c>
      <c r="CP38" s="220" t="s">
        <v>395</v>
      </c>
      <c r="CQ38" s="57" t="s">
        <v>395</v>
      </c>
      <c r="CR38" s="57" t="s">
        <v>395</v>
      </c>
      <c r="CS38" s="57" t="s">
        <v>395</v>
      </c>
      <c r="CT38" s="57" t="s">
        <v>395</v>
      </c>
      <c r="CU38" s="57" t="s">
        <v>395</v>
      </c>
      <c r="CV38" s="57" t="s">
        <v>395</v>
      </c>
      <c r="CW38" s="57" t="s">
        <v>395</v>
      </c>
      <c r="CX38" s="57" t="s">
        <v>395</v>
      </c>
      <c r="CY38" s="59" t="s">
        <v>395</v>
      </c>
    </row>
    <row r="39" spans="1:112" s="152" customFormat="1" x14ac:dyDescent="0.3">
      <c r="A39" s="153" t="s">
        <v>391</v>
      </c>
      <c r="B39" s="153" t="s">
        <v>205</v>
      </c>
      <c r="C39" s="205" t="s">
        <v>20</v>
      </c>
      <c r="D39" s="157" t="s">
        <v>393</v>
      </c>
      <c r="E39" s="221"/>
      <c r="F39" s="221"/>
      <c r="G39" s="221"/>
      <c r="H39" s="1">
        <v>2021</v>
      </c>
      <c r="I39" s="75" t="s">
        <v>33</v>
      </c>
      <c r="J39" s="75">
        <v>10</v>
      </c>
      <c r="K39" s="155">
        <v>0.61660316823744066</v>
      </c>
      <c r="L39" s="24" t="s">
        <v>394</v>
      </c>
      <c r="M39" s="91">
        <v>0.474017489194894</v>
      </c>
      <c r="N39" s="56">
        <v>1.2912704794451704</v>
      </c>
      <c r="O39" s="56">
        <v>4.0869082319831138</v>
      </c>
      <c r="P39" s="56">
        <v>2.9437832948034979</v>
      </c>
      <c r="Q39" s="56">
        <v>6.3638456126243845</v>
      </c>
      <c r="R39" s="56">
        <v>6.0521660468388783</v>
      </c>
      <c r="S39" s="56">
        <v>1.619429088350588</v>
      </c>
      <c r="T39" s="55">
        <v>22.831420243240526</v>
      </c>
      <c r="U39" s="5">
        <f t="shared" si="3"/>
        <v>161.26771619813289</v>
      </c>
      <c r="V39" s="226" t="s">
        <v>251</v>
      </c>
      <c r="W39" s="226">
        <v>6.662265647338611E-2</v>
      </c>
      <c r="X39" s="226">
        <v>2.914336205561709E-2</v>
      </c>
      <c r="Y39" s="226">
        <v>4.5438680411655073E-2</v>
      </c>
      <c r="Z39" s="226" t="s">
        <v>251</v>
      </c>
      <c r="AA39" s="226" t="s">
        <v>252</v>
      </c>
      <c r="AB39" s="226" t="s">
        <v>251</v>
      </c>
      <c r="AC39" s="81" t="s">
        <v>253</v>
      </c>
      <c r="AD39" s="228">
        <v>0.14120469894065826</v>
      </c>
      <c r="AE39" s="24">
        <f t="shared" si="4"/>
        <v>0.14120469894065829</v>
      </c>
      <c r="AF39" s="157" t="s">
        <v>395</v>
      </c>
      <c r="AG39" s="158" t="s">
        <v>395</v>
      </c>
      <c r="AH39" s="86">
        <v>5.2617859003299197</v>
      </c>
      <c r="AI39" s="85" t="s">
        <v>208</v>
      </c>
      <c r="AJ39" s="85" t="s">
        <v>36</v>
      </c>
      <c r="AK39" s="85" t="s">
        <v>209</v>
      </c>
      <c r="AL39" s="85" t="s">
        <v>133</v>
      </c>
      <c r="AM39" s="85">
        <v>5.248306997742664E-2</v>
      </c>
      <c r="AN39" s="85">
        <v>0.78228280372749925</v>
      </c>
      <c r="AO39" s="85">
        <v>0.12988366035770102</v>
      </c>
      <c r="AP39" s="85" t="s">
        <v>395</v>
      </c>
      <c r="AQ39" s="85">
        <v>0.41326619204723053</v>
      </c>
      <c r="AR39" s="85" t="s">
        <v>133</v>
      </c>
      <c r="AS39" s="85">
        <v>0.84139318168663557</v>
      </c>
      <c r="AT39" s="85">
        <v>0.36389419459396899</v>
      </c>
      <c r="AU39" s="85" t="s">
        <v>212</v>
      </c>
      <c r="AV39" s="85" t="s">
        <v>133</v>
      </c>
      <c r="AW39" s="85" t="s">
        <v>133</v>
      </c>
      <c r="AX39" s="85" t="s">
        <v>133</v>
      </c>
      <c r="AY39" s="85" t="s">
        <v>133</v>
      </c>
      <c r="AZ39" s="85" t="s">
        <v>133</v>
      </c>
      <c r="BA39" s="85" t="s">
        <v>133</v>
      </c>
      <c r="BB39" s="85" t="s">
        <v>133</v>
      </c>
      <c r="BC39" s="205" t="s">
        <v>395</v>
      </c>
      <c r="BD39" s="205" t="s">
        <v>395</v>
      </c>
      <c r="BE39" s="205" t="s">
        <v>395</v>
      </c>
      <c r="BF39" s="205" t="s">
        <v>395</v>
      </c>
      <c r="BG39" s="205" t="s">
        <v>395</v>
      </c>
      <c r="BH39" s="205" t="s">
        <v>395</v>
      </c>
      <c r="BI39" s="205" t="s">
        <v>395</v>
      </c>
      <c r="BJ39" s="219" t="s">
        <v>395</v>
      </c>
      <c r="BK39" s="225" t="s">
        <v>395</v>
      </c>
      <c r="BL39" s="157" t="s">
        <v>395</v>
      </c>
      <c r="BM39" s="156" t="s">
        <v>395</v>
      </c>
      <c r="BN39" s="182">
        <v>200</v>
      </c>
      <c r="BO39" s="5" t="s">
        <v>395</v>
      </c>
      <c r="BP39" s="5" t="s">
        <v>395</v>
      </c>
      <c r="BQ39" s="5" t="s">
        <v>395</v>
      </c>
      <c r="BR39" s="5" t="s">
        <v>395</v>
      </c>
      <c r="BS39" s="5" t="s">
        <v>395</v>
      </c>
      <c r="BT39" s="5" t="s">
        <v>395</v>
      </c>
      <c r="BU39" s="5" t="s">
        <v>395</v>
      </c>
      <c r="BV39" s="5" t="s">
        <v>395</v>
      </c>
      <c r="BW39" s="5" t="s">
        <v>395</v>
      </c>
      <c r="BX39" s="5" t="s">
        <v>395</v>
      </c>
      <c r="BY39" s="5" t="s">
        <v>395</v>
      </c>
      <c r="BZ39" s="5" t="s">
        <v>395</v>
      </c>
      <c r="CA39" s="5" t="s">
        <v>395</v>
      </c>
      <c r="CB39" s="5" t="s">
        <v>395</v>
      </c>
      <c r="CC39" s="5" t="s">
        <v>395</v>
      </c>
      <c r="CD39" s="5" t="s">
        <v>395</v>
      </c>
      <c r="CE39" s="5" t="s">
        <v>395</v>
      </c>
      <c r="CF39" s="5" t="s">
        <v>395</v>
      </c>
      <c r="CG39" s="5" t="s">
        <v>395</v>
      </c>
      <c r="CH39" s="5" t="s">
        <v>395</v>
      </c>
      <c r="CI39" s="220" t="s">
        <v>395</v>
      </c>
      <c r="CJ39" s="220" t="s">
        <v>395</v>
      </c>
      <c r="CK39" s="220" t="s">
        <v>395</v>
      </c>
      <c r="CL39" s="220" t="s">
        <v>395</v>
      </c>
      <c r="CM39" s="220" t="s">
        <v>395</v>
      </c>
      <c r="CN39" s="220" t="s">
        <v>395</v>
      </c>
      <c r="CO39" s="220" t="s">
        <v>395</v>
      </c>
      <c r="CP39" s="220" t="s">
        <v>395</v>
      </c>
      <c r="CQ39" s="57" t="s">
        <v>395</v>
      </c>
      <c r="CR39" s="57" t="s">
        <v>395</v>
      </c>
      <c r="CS39" s="57" t="s">
        <v>395</v>
      </c>
      <c r="CT39" s="57" t="s">
        <v>395</v>
      </c>
      <c r="CU39" s="57" t="s">
        <v>395</v>
      </c>
      <c r="CV39" s="57" t="s">
        <v>395</v>
      </c>
      <c r="CW39" s="57" t="s">
        <v>395</v>
      </c>
      <c r="CX39" s="57" t="s">
        <v>395</v>
      </c>
      <c r="CY39" s="59" t="s">
        <v>395</v>
      </c>
    </row>
    <row r="40" spans="1:112" x14ac:dyDescent="0.3">
      <c r="A40" s="157" t="s">
        <v>4</v>
      </c>
      <c r="B40" s="157" t="s">
        <v>4</v>
      </c>
      <c r="C40" s="205" t="s">
        <v>20</v>
      </c>
      <c r="D40" s="157"/>
      <c r="E40" s="221"/>
      <c r="F40" s="221"/>
      <c r="G40" s="221"/>
      <c r="H40" s="1">
        <v>2023</v>
      </c>
      <c r="I40" s="75" t="s">
        <v>33</v>
      </c>
      <c r="J40" s="75">
        <v>10</v>
      </c>
      <c r="K40" s="155">
        <v>0.58601509733811841</v>
      </c>
      <c r="L40" s="24" t="s">
        <v>394</v>
      </c>
      <c r="M40" s="91">
        <v>0.58841197462331485</v>
      </c>
      <c r="N40" s="56">
        <v>1.3981017049960351</v>
      </c>
      <c r="O40" s="56">
        <v>4.3969518239492462</v>
      </c>
      <c r="P40" s="56">
        <v>3.7151070578905636</v>
      </c>
      <c r="Q40" s="56">
        <v>9.6532414750198257</v>
      </c>
      <c r="R40" s="56">
        <v>9.3263778747026187</v>
      </c>
      <c r="S40" s="56">
        <v>2.3216494845360827</v>
      </c>
      <c r="T40" s="55">
        <v>31.399841395717683</v>
      </c>
      <c r="U40" s="5">
        <f t="shared" si="3"/>
        <v>236.21178416375858</v>
      </c>
      <c r="V40" s="226" t="s">
        <v>254</v>
      </c>
      <c r="W40" s="227">
        <v>0.12186451116148768</v>
      </c>
      <c r="X40" s="226">
        <v>6.0208463498658847E-2</v>
      </c>
      <c r="Y40" s="227">
        <v>0.15515227409827095</v>
      </c>
      <c r="Z40" s="226" t="s">
        <v>254</v>
      </c>
      <c r="AA40" s="226">
        <v>3.0925645922536729E-2</v>
      </c>
      <c r="AB40" s="226">
        <v>3.5719134341939456E-2</v>
      </c>
      <c r="AC40" s="81" t="s">
        <v>255</v>
      </c>
      <c r="AD40" s="228">
        <v>0.40387002902289365</v>
      </c>
      <c r="AE40" s="24">
        <f t="shared" si="4"/>
        <v>0.40387002902289365</v>
      </c>
      <c r="AF40" s="157" t="s">
        <v>395</v>
      </c>
      <c r="AG40" s="160" t="s">
        <v>395</v>
      </c>
      <c r="AH40" s="86">
        <v>7.9481619052821308</v>
      </c>
      <c r="AI40" s="85" t="s">
        <v>248</v>
      </c>
      <c r="AJ40" s="85">
        <v>9.906957265891006E-2</v>
      </c>
      <c r="AK40" s="85" t="s">
        <v>133</v>
      </c>
      <c r="AL40" s="85" t="s">
        <v>133</v>
      </c>
      <c r="AM40" s="85" t="s">
        <v>133</v>
      </c>
      <c r="AN40" s="85">
        <v>0.43540722128147702</v>
      </c>
      <c r="AO40" s="85" t="s">
        <v>133</v>
      </c>
      <c r="AP40" s="85" t="s">
        <v>395</v>
      </c>
      <c r="AQ40" s="85">
        <v>0.25556708727080713</v>
      </c>
      <c r="AR40" s="85" t="s">
        <v>133</v>
      </c>
      <c r="AS40" s="85">
        <v>0.72657089273684017</v>
      </c>
      <c r="AT40" s="85">
        <v>0.48748201962819315</v>
      </c>
      <c r="AU40" s="85">
        <v>0.23016696709819556</v>
      </c>
      <c r="AV40" s="85" t="s">
        <v>133</v>
      </c>
      <c r="AW40" s="85" t="s">
        <v>133</v>
      </c>
      <c r="AX40" s="85" t="s">
        <v>133</v>
      </c>
      <c r="AY40" s="85" t="s">
        <v>133</v>
      </c>
      <c r="AZ40" s="85" t="s">
        <v>133</v>
      </c>
      <c r="BA40" s="85" t="s">
        <v>133</v>
      </c>
      <c r="BB40" s="85" t="s">
        <v>133</v>
      </c>
      <c r="BC40" s="205" t="s">
        <v>395</v>
      </c>
      <c r="BD40" s="205" t="s">
        <v>395</v>
      </c>
      <c r="BE40" s="205" t="s">
        <v>395</v>
      </c>
      <c r="BF40" s="205" t="s">
        <v>395</v>
      </c>
      <c r="BG40" s="205" t="s">
        <v>395</v>
      </c>
      <c r="BH40" s="205" t="s">
        <v>395</v>
      </c>
      <c r="BI40" s="205" t="s">
        <v>395</v>
      </c>
      <c r="BJ40" s="219" t="s">
        <v>395</v>
      </c>
      <c r="BK40" s="221" t="s">
        <v>395</v>
      </c>
      <c r="BL40" s="157" t="s">
        <v>395</v>
      </c>
      <c r="BM40" s="156" t="s">
        <v>395</v>
      </c>
      <c r="BN40" s="182">
        <v>26</v>
      </c>
      <c r="BO40" s="5" t="s">
        <v>395</v>
      </c>
      <c r="BP40" s="5" t="s">
        <v>395</v>
      </c>
      <c r="BQ40" s="5" t="s">
        <v>395</v>
      </c>
      <c r="BR40" s="5" t="s">
        <v>395</v>
      </c>
      <c r="BS40" s="5" t="s">
        <v>395</v>
      </c>
      <c r="BT40" s="5" t="s">
        <v>395</v>
      </c>
      <c r="BU40" s="5" t="s">
        <v>395</v>
      </c>
      <c r="BV40" s="5" t="s">
        <v>395</v>
      </c>
      <c r="BW40" s="5" t="s">
        <v>395</v>
      </c>
      <c r="BX40" s="5" t="s">
        <v>395</v>
      </c>
      <c r="BY40" s="5" t="s">
        <v>395</v>
      </c>
      <c r="BZ40" s="5" t="s">
        <v>395</v>
      </c>
      <c r="CA40" s="5" t="s">
        <v>395</v>
      </c>
      <c r="CB40" s="5" t="s">
        <v>395</v>
      </c>
      <c r="CC40" s="5" t="s">
        <v>395</v>
      </c>
      <c r="CD40" s="5" t="s">
        <v>395</v>
      </c>
      <c r="CE40" s="5" t="s">
        <v>395</v>
      </c>
      <c r="CF40" s="5" t="s">
        <v>395</v>
      </c>
      <c r="CG40" s="5" t="s">
        <v>395</v>
      </c>
      <c r="CH40" s="5" t="s">
        <v>395</v>
      </c>
      <c r="CI40" s="220" t="s">
        <v>395</v>
      </c>
      <c r="CJ40" s="220" t="s">
        <v>395</v>
      </c>
      <c r="CK40" s="220" t="s">
        <v>395</v>
      </c>
      <c r="CL40" s="220" t="s">
        <v>395</v>
      </c>
      <c r="CM40" s="220" t="s">
        <v>395</v>
      </c>
      <c r="CN40" s="220" t="s">
        <v>395</v>
      </c>
      <c r="CO40" s="220" t="s">
        <v>395</v>
      </c>
      <c r="CP40" s="220" t="s">
        <v>395</v>
      </c>
      <c r="CQ40" s="57" t="s">
        <v>395</v>
      </c>
      <c r="CR40" s="57" t="s">
        <v>395</v>
      </c>
      <c r="CS40" s="57" t="s">
        <v>395</v>
      </c>
      <c r="CT40" s="57" t="s">
        <v>395</v>
      </c>
      <c r="CU40" s="57" t="s">
        <v>395</v>
      </c>
      <c r="CV40" s="57" t="s">
        <v>395</v>
      </c>
      <c r="CW40" s="57" t="s">
        <v>395</v>
      </c>
      <c r="CX40" s="57" t="s">
        <v>395</v>
      </c>
      <c r="CY40" s="59" t="s">
        <v>395</v>
      </c>
    </row>
    <row r="41" spans="1:112" x14ac:dyDescent="0.3">
      <c r="A41" s="158" t="s">
        <v>28</v>
      </c>
      <c r="B41" s="158" t="s">
        <v>28</v>
      </c>
      <c r="C41" s="205" t="s">
        <v>20</v>
      </c>
      <c r="D41" s="158"/>
      <c r="E41" s="221"/>
      <c r="F41" s="221"/>
      <c r="G41" s="221"/>
      <c r="H41" s="1">
        <v>2023</v>
      </c>
      <c r="I41" s="75" t="s">
        <v>33</v>
      </c>
      <c r="J41" s="75">
        <v>10</v>
      </c>
      <c r="K41" s="155">
        <v>0.49582021863469222</v>
      </c>
      <c r="L41" s="24" t="s">
        <v>394</v>
      </c>
      <c r="M41" s="91">
        <v>0.14100828450191957</v>
      </c>
      <c r="N41" s="91">
        <v>0.36782683370377856</v>
      </c>
      <c r="O41" s="56">
        <v>1.6967316629622149</v>
      </c>
      <c r="P41" s="56">
        <v>1.7767023641139623</v>
      </c>
      <c r="Q41" s="56">
        <v>4.7879268539098812</v>
      </c>
      <c r="R41" s="56">
        <v>3.9360577894524149</v>
      </c>
      <c r="S41" s="56">
        <v>1.1728227924833299</v>
      </c>
      <c r="T41" s="55">
        <v>13.879076581127501</v>
      </c>
      <c r="U41" s="5">
        <f t="shared" si="3"/>
        <v>122.04397644713902</v>
      </c>
      <c r="V41" s="226" t="s">
        <v>256</v>
      </c>
      <c r="W41" s="226">
        <v>6.0478701419786174E-2</v>
      </c>
      <c r="X41" s="226">
        <v>4.3923421137664176E-2</v>
      </c>
      <c r="Y41" s="226">
        <v>6.635884412198248E-2</v>
      </c>
      <c r="Z41" s="226">
        <v>1.6452219108257584E-2</v>
      </c>
      <c r="AA41" s="226">
        <v>2.1858461904596269E-2</v>
      </c>
      <c r="AB41" s="226">
        <v>2.0486490962501221E-2</v>
      </c>
      <c r="AC41" s="81" t="s">
        <v>257</v>
      </c>
      <c r="AD41" s="228">
        <v>0.22955813865478791</v>
      </c>
      <c r="AE41" s="24">
        <f t="shared" si="4"/>
        <v>0.2131059195465303</v>
      </c>
      <c r="AF41" s="158" t="s">
        <v>395</v>
      </c>
      <c r="AG41" s="160" t="s">
        <v>395</v>
      </c>
      <c r="AH41" s="86">
        <v>6.2683171476770161</v>
      </c>
      <c r="AI41" s="85" t="s">
        <v>248</v>
      </c>
      <c r="AJ41" s="85" t="s">
        <v>36</v>
      </c>
      <c r="AK41" s="85" t="s">
        <v>133</v>
      </c>
      <c r="AL41" s="85" t="s">
        <v>133</v>
      </c>
      <c r="AM41" s="85">
        <v>5.6338242222526182E-2</v>
      </c>
      <c r="AN41" s="85">
        <v>0.27059681758081433</v>
      </c>
      <c r="AO41" s="85" t="s">
        <v>133</v>
      </c>
      <c r="AP41" s="85" t="s">
        <v>395</v>
      </c>
      <c r="AQ41" s="85">
        <v>0.17834617547379142</v>
      </c>
      <c r="AR41" s="85" t="s">
        <v>133</v>
      </c>
      <c r="AS41" s="85">
        <v>0.1305946898889041</v>
      </c>
      <c r="AT41" s="85" t="s">
        <v>249</v>
      </c>
      <c r="AU41" s="85" t="s">
        <v>250</v>
      </c>
      <c r="AV41" s="85" t="s">
        <v>133</v>
      </c>
      <c r="AW41" s="85" t="s">
        <v>133</v>
      </c>
      <c r="AX41" s="85" t="s">
        <v>133</v>
      </c>
      <c r="AY41" s="85" t="s">
        <v>133</v>
      </c>
      <c r="AZ41" s="85" t="s">
        <v>133</v>
      </c>
      <c r="BA41" s="85" t="s">
        <v>133</v>
      </c>
      <c r="BB41" s="85" t="s">
        <v>133</v>
      </c>
      <c r="BC41" s="205" t="s">
        <v>395</v>
      </c>
      <c r="BD41" s="205" t="s">
        <v>395</v>
      </c>
      <c r="BE41" s="205" t="s">
        <v>395</v>
      </c>
      <c r="BF41" s="205" t="s">
        <v>395</v>
      </c>
      <c r="BG41" s="205" t="s">
        <v>395</v>
      </c>
      <c r="BH41" s="205" t="s">
        <v>395</v>
      </c>
      <c r="BI41" s="205" t="s">
        <v>395</v>
      </c>
      <c r="BJ41" s="219" t="s">
        <v>395</v>
      </c>
      <c r="BK41" s="221" t="s">
        <v>395</v>
      </c>
      <c r="BL41" s="158" t="s">
        <v>395</v>
      </c>
      <c r="BM41" s="156" t="s">
        <v>395</v>
      </c>
      <c r="BN41" s="182">
        <v>60</v>
      </c>
      <c r="BO41" s="5" t="s">
        <v>395</v>
      </c>
      <c r="BP41" s="5" t="s">
        <v>395</v>
      </c>
      <c r="BQ41" s="5" t="s">
        <v>395</v>
      </c>
      <c r="BR41" s="5" t="s">
        <v>395</v>
      </c>
      <c r="BS41" s="5" t="s">
        <v>395</v>
      </c>
      <c r="BT41" s="5" t="s">
        <v>395</v>
      </c>
      <c r="BU41" s="5" t="s">
        <v>395</v>
      </c>
      <c r="BV41" s="5" t="s">
        <v>395</v>
      </c>
      <c r="BW41" s="5" t="s">
        <v>395</v>
      </c>
      <c r="BX41" s="5" t="s">
        <v>395</v>
      </c>
      <c r="BY41" s="5" t="s">
        <v>395</v>
      </c>
      <c r="BZ41" s="5" t="s">
        <v>395</v>
      </c>
      <c r="CA41" s="5" t="s">
        <v>395</v>
      </c>
      <c r="CB41" s="5" t="s">
        <v>395</v>
      </c>
      <c r="CC41" s="5" t="s">
        <v>395</v>
      </c>
      <c r="CD41" s="5" t="s">
        <v>395</v>
      </c>
      <c r="CE41" s="5" t="s">
        <v>395</v>
      </c>
      <c r="CF41" s="5" t="s">
        <v>395</v>
      </c>
      <c r="CG41" s="5" t="s">
        <v>395</v>
      </c>
      <c r="CH41" s="5" t="s">
        <v>395</v>
      </c>
      <c r="CI41" s="220" t="s">
        <v>395</v>
      </c>
      <c r="CJ41" s="220" t="s">
        <v>395</v>
      </c>
      <c r="CK41" s="220" t="s">
        <v>395</v>
      </c>
      <c r="CL41" s="220" t="s">
        <v>395</v>
      </c>
      <c r="CM41" s="220" t="s">
        <v>395</v>
      </c>
      <c r="CN41" s="220" t="s">
        <v>395</v>
      </c>
      <c r="CO41" s="220" t="s">
        <v>395</v>
      </c>
      <c r="CP41" s="220" t="s">
        <v>395</v>
      </c>
      <c r="CQ41" s="57" t="s">
        <v>395</v>
      </c>
      <c r="CR41" s="57" t="s">
        <v>395</v>
      </c>
      <c r="CS41" s="57" t="s">
        <v>395</v>
      </c>
      <c r="CT41" s="57" t="s">
        <v>395</v>
      </c>
      <c r="CU41" s="57" t="s">
        <v>395</v>
      </c>
      <c r="CV41" s="57" t="s">
        <v>395</v>
      </c>
      <c r="CW41" s="57" t="s">
        <v>395</v>
      </c>
      <c r="CX41" s="57" t="s">
        <v>395</v>
      </c>
      <c r="CY41" s="59" t="s">
        <v>395</v>
      </c>
    </row>
    <row r="42" spans="1:112" x14ac:dyDescent="0.3">
      <c r="A42" s="158" t="s">
        <v>166</v>
      </c>
      <c r="B42" s="158" t="s">
        <v>166</v>
      </c>
      <c r="C42" s="205" t="s">
        <v>20</v>
      </c>
      <c r="D42" s="158"/>
      <c r="E42" s="221"/>
      <c r="F42" s="221"/>
      <c r="G42" s="221"/>
      <c r="H42" s="1">
        <v>2023</v>
      </c>
      <c r="I42" s="75" t="s">
        <v>33</v>
      </c>
      <c r="J42" s="75">
        <v>10</v>
      </c>
      <c r="K42" s="155">
        <v>0.44128997617375354</v>
      </c>
      <c r="L42" s="24" t="s">
        <v>394</v>
      </c>
      <c r="M42" s="224">
        <v>3.2157842157842197E-2</v>
      </c>
      <c r="N42" s="91">
        <v>0.40673826173826177</v>
      </c>
      <c r="O42" s="56">
        <v>2.5939310689310693</v>
      </c>
      <c r="P42" s="56">
        <v>2.4604145854145854</v>
      </c>
      <c r="Q42" s="56">
        <v>5.9498501498501497</v>
      </c>
      <c r="R42" s="56">
        <v>5.1003696303696309</v>
      </c>
      <c r="S42" s="56">
        <v>1.5844605394605393</v>
      </c>
      <c r="T42" s="55">
        <v>18.127922077922079</v>
      </c>
      <c r="U42" s="5">
        <f t="shared" si="3"/>
        <v>177.519412839989</v>
      </c>
      <c r="V42" s="226" t="s">
        <v>258</v>
      </c>
      <c r="W42" s="226">
        <v>3.1750337063829286E-2</v>
      </c>
      <c r="X42" s="226">
        <v>2.6677600545741555E-2</v>
      </c>
      <c r="Y42" s="226">
        <v>1.8364535212560058E-2</v>
      </c>
      <c r="Z42" s="226">
        <v>1.3535739471882186E-2</v>
      </c>
      <c r="AA42" s="226" t="s">
        <v>259</v>
      </c>
      <c r="AB42" s="226" t="s">
        <v>258</v>
      </c>
      <c r="AC42" s="81" t="s">
        <v>260</v>
      </c>
      <c r="AD42" s="81">
        <v>9.0328212294013083E-2</v>
      </c>
      <c r="AE42" s="24">
        <f t="shared" si="4"/>
        <v>7.6792472822130906E-2</v>
      </c>
      <c r="AF42" s="158" t="s">
        <v>395</v>
      </c>
      <c r="AG42" s="160" t="s">
        <v>395</v>
      </c>
      <c r="AH42" s="86">
        <v>5.2129577464788737</v>
      </c>
      <c r="AI42" s="85" t="s">
        <v>248</v>
      </c>
      <c r="AJ42" s="85">
        <v>0.17085446009389677</v>
      </c>
      <c r="AK42" s="85" t="s">
        <v>133</v>
      </c>
      <c r="AL42" s="85" t="s">
        <v>133</v>
      </c>
      <c r="AM42" s="85" t="s">
        <v>133</v>
      </c>
      <c r="AN42" s="85">
        <v>0.67988732394366225</v>
      </c>
      <c r="AO42" s="85">
        <v>6.1690140845070442E-2</v>
      </c>
      <c r="AP42" s="85" t="s">
        <v>395</v>
      </c>
      <c r="AQ42" s="85">
        <v>0.37710798122065736</v>
      </c>
      <c r="AR42" s="85" t="s">
        <v>133</v>
      </c>
      <c r="AS42" s="85">
        <v>0.41348356807511749</v>
      </c>
      <c r="AT42" s="85">
        <v>0.18627230046948362</v>
      </c>
      <c r="AU42" s="85" t="s">
        <v>250</v>
      </c>
      <c r="AV42" s="85" t="s">
        <v>133</v>
      </c>
      <c r="AW42" s="85" t="s">
        <v>133</v>
      </c>
      <c r="AX42" s="85" t="s">
        <v>133</v>
      </c>
      <c r="AY42" s="85" t="s">
        <v>133</v>
      </c>
      <c r="AZ42" s="85" t="s">
        <v>133</v>
      </c>
      <c r="BA42" s="85" t="s">
        <v>133</v>
      </c>
      <c r="BB42" s="85" t="s">
        <v>133</v>
      </c>
      <c r="BC42" s="205" t="s">
        <v>395</v>
      </c>
      <c r="BD42" s="205" t="s">
        <v>395</v>
      </c>
      <c r="BE42" s="205" t="s">
        <v>395</v>
      </c>
      <c r="BF42" s="205" t="s">
        <v>395</v>
      </c>
      <c r="BG42" s="205" t="s">
        <v>395</v>
      </c>
      <c r="BH42" s="205" t="s">
        <v>395</v>
      </c>
      <c r="BI42" s="205" t="s">
        <v>395</v>
      </c>
      <c r="BJ42" s="219" t="s">
        <v>395</v>
      </c>
      <c r="BK42" s="221" t="s">
        <v>395</v>
      </c>
      <c r="BL42" s="158" t="s">
        <v>395</v>
      </c>
      <c r="BM42" s="156" t="s">
        <v>395</v>
      </c>
      <c r="BN42" s="182">
        <v>79</v>
      </c>
      <c r="BO42" s="5" t="s">
        <v>395</v>
      </c>
      <c r="BP42" s="5" t="s">
        <v>395</v>
      </c>
      <c r="BQ42" s="5" t="s">
        <v>395</v>
      </c>
      <c r="BR42" s="5" t="s">
        <v>395</v>
      </c>
      <c r="BS42" s="5" t="s">
        <v>395</v>
      </c>
      <c r="BT42" s="5" t="s">
        <v>395</v>
      </c>
      <c r="BU42" s="5" t="s">
        <v>395</v>
      </c>
      <c r="BV42" s="5" t="s">
        <v>395</v>
      </c>
      <c r="BW42" s="5" t="s">
        <v>395</v>
      </c>
      <c r="BX42" s="5" t="s">
        <v>395</v>
      </c>
      <c r="BY42" s="5" t="s">
        <v>395</v>
      </c>
      <c r="BZ42" s="5" t="s">
        <v>395</v>
      </c>
      <c r="CA42" s="5" t="s">
        <v>395</v>
      </c>
      <c r="CB42" s="5" t="s">
        <v>395</v>
      </c>
      <c r="CC42" s="5" t="s">
        <v>395</v>
      </c>
      <c r="CD42" s="5" t="s">
        <v>395</v>
      </c>
      <c r="CE42" s="5" t="s">
        <v>395</v>
      </c>
      <c r="CF42" s="5" t="s">
        <v>395</v>
      </c>
      <c r="CG42" s="5" t="s">
        <v>395</v>
      </c>
      <c r="CH42" s="5" t="s">
        <v>395</v>
      </c>
      <c r="CI42" s="220" t="s">
        <v>395</v>
      </c>
      <c r="CJ42" s="220" t="s">
        <v>395</v>
      </c>
      <c r="CK42" s="220" t="s">
        <v>395</v>
      </c>
      <c r="CL42" s="220" t="s">
        <v>395</v>
      </c>
      <c r="CM42" s="220" t="s">
        <v>395</v>
      </c>
      <c r="CN42" s="220" t="s">
        <v>395</v>
      </c>
      <c r="CO42" s="220" t="s">
        <v>395</v>
      </c>
      <c r="CP42" s="220" t="s">
        <v>395</v>
      </c>
      <c r="CQ42" s="57" t="s">
        <v>395</v>
      </c>
      <c r="CR42" s="57" t="s">
        <v>395</v>
      </c>
      <c r="CS42" s="57" t="s">
        <v>395</v>
      </c>
      <c r="CT42" s="57" t="s">
        <v>395</v>
      </c>
      <c r="CU42" s="57" t="s">
        <v>395</v>
      </c>
      <c r="CV42" s="57" t="s">
        <v>395</v>
      </c>
      <c r="CW42" s="57" t="s">
        <v>395</v>
      </c>
      <c r="CX42" s="57" t="s">
        <v>395</v>
      </c>
      <c r="CY42" s="59" t="s">
        <v>395</v>
      </c>
    </row>
    <row r="43" spans="1:112" x14ac:dyDescent="0.3">
      <c r="A43" s="157" t="s">
        <v>7</v>
      </c>
      <c r="B43" s="157" t="s">
        <v>7</v>
      </c>
      <c r="C43" s="205" t="s">
        <v>20</v>
      </c>
      <c r="D43" s="157"/>
      <c r="E43" s="221"/>
      <c r="F43" s="221"/>
      <c r="G43" s="221"/>
      <c r="H43" s="1">
        <v>2023</v>
      </c>
      <c r="I43" s="75" t="s">
        <v>33</v>
      </c>
      <c r="J43" s="75">
        <v>10</v>
      </c>
      <c r="K43" s="155">
        <v>0.52812820767527036</v>
      </c>
      <c r="L43" s="24" t="s">
        <v>394</v>
      </c>
      <c r="M43" s="224" t="s">
        <v>39</v>
      </c>
      <c r="N43" s="91">
        <v>0.1671370568429392</v>
      </c>
      <c r="O43" s="91">
        <v>0.75572885719944538</v>
      </c>
      <c r="P43" s="91">
        <v>0.84384036442859967</v>
      </c>
      <c r="Q43" s="56">
        <v>2.0887799564270151</v>
      </c>
      <c r="R43" s="56">
        <v>1.7742424242424242</v>
      </c>
      <c r="S43" s="91">
        <v>0.61489403842345014</v>
      </c>
      <c r="T43" s="56">
        <v>6.244622697563873</v>
      </c>
      <c r="U43" s="5">
        <f t="shared" si="3"/>
        <v>51.131356502510911</v>
      </c>
      <c r="V43" s="226" t="s">
        <v>261</v>
      </c>
      <c r="W43" s="226">
        <v>4.6994580917299945E-2</v>
      </c>
      <c r="X43" s="226">
        <v>3.6402669525009E-2</v>
      </c>
      <c r="Y43" s="226">
        <v>3.7186949837162302E-2</v>
      </c>
      <c r="Z43" s="226">
        <v>1.4516155372622517E-2</v>
      </c>
      <c r="AA43" s="226" t="s">
        <v>262</v>
      </c>
      <c r="AB43" s="226" t="s">
        <v>261</v>
      </c>
      <c r="AC43" s="81" t="s">
        <v>263</v>
      </c>
      <c r="AD43" s="228">
        <v>0.13510035565209377</v>
      </c>
      <c r="AE43" s="24">
        <f t="shared" si="4"/>
        <v>0.12058420027947125</v>
      </c>
      <c r="AF43" s="157" t="s">
        <v>395</v>
      </c>
      <c r="AG43" s="160" t="s">
        <v>395</v>
      </c>
      <c r="AH43" s="86">
        <v>4.5638737073880398</v>
      </c>
      <c r="AI43" s="85" t="s">
        <v>248</v>
      </c>
      <c r="AJ43" s="85">
        <v>0.10091875384998494</v>
      </c>
      <c r="AK43" s="85" t="s">
        <v>133</v>
      </c>
      <c r="AL43" s="85" t="s">
        <v>133</v>
      </c>
      <c r="AM43" s="85">
        <v>0.11810115466782005</v>
      </c>
      <c r="AN43" s="86">
        <v>1.467896040577203</v>
      </c>
      <c r="AO43" s="85">
        <v>0.40710887429717307</v>
      </c>
      <c r="AP43" s="85" t="s">
        <v>395</v>
      </c>
      <c r="AQ43" s="86">
        <v>1.2227290003800837</v>
      </c>
      <c r="AR43" s="85" t="s">
        <v>133</v>
      </c>
      <c r="AS43" s="86">
        <v>1.5006618697492762</v>
      </c>
      <c r="AT43" s="85">
        <v>0.26864048021599235</v>
      </c>
      <c r="AU43" s="85" t="s">
        <v>250</v>
      </c>
      <c r="AV43" s="85" t="s">
        <v>133</v>
      </c>
      <c r="AW43" s="85" t="s">
        <v>133</v>
      </c>
      <c r="AX43" s="85" t="s">
        <v>133</v>
      </c>
      <c r="AY43" s="85" t="s">
        <v>133</v>
      </c>
      <c r="AZ43" s="85" t="s">
        <v>133</v>
      </c>
      <c r="BA43" s="85" t="s">
        <v>133</v>
      </c>
      <c r="BB43" s="85" t="s">
        <v>133</v>
      </c>
      <c r="BC43" s="205" t="s">
        <v>395</v>
      </c>
      <c r="BD43" s="205" t="s">
        <v>395</v>
      </c>
      <c r="BE43" s="205" t="s">
        <v>395</v>
      </c>
      <c r="BF43" s="205" t="s">
        <v>395</v>
      </c>
      <c r="BG43" s="205" t="s">
        <v>395</v>
      </c>
      <c r="BH43" s="205" t="s">
        <v>395</v>
      </c>
      <c r="BI43" s="205" t="s">
        <v>395</v>
      </c>
      <c r="BJ43" s="219" t="s">
        <v>395</v>
      </c>
      <c r="BK43" s="221" t="s">
        <v>395</v>
      </c>
      <c r="BL43" s="157" t="s">
        <v>395</v>
      </c>
      <c r="BM43" s="156" t="s">
        <v>395</v>
      </c>
      <c r="BN43" s="182">
        <v>94</v>
      </c>
      <c r="BO43" s="5" t="s">
        <v>395</v>
      </c>
      <c r="BP43" s="5" t="s">
        <v>395</v>
      </c>
      <c r="BQ43" s="5" t="s">
        <v>395</v>
      </c>
      <c r="BR43" s="5" t="s">
        <v>395</v>
      </c>
      <c r="BS43" s="5" t="s">
        <v>395</v>
      </c>
      <c r="BT43" s="5" t="s">
        <v>395</v>
      </c>
      <c r="BU43" s="5" t="s">
        <v>395</v>
      </c>
      <c r="BV43" s="5" t="s">
        <v>395</v>
      </c>
      <c r="BW43" s="5" t="s">
        <v>395</v>
      </c>
      <c r="BX43" s="5" t="s">
        <v>395</v>
      </c>
      <c r="BY43" s="5" t="s">
        <v>395</v>
      </c>
      <c r="BZ43" s="5" t="s">
        <v>395</v>
      </c>
      <c r="CA43" s="5" t="s">
        <v>395</v>
      </c>
      <c r="CB43" s="5" t="s">
        <v>395</v>
      </c>
      <c r="CC43" s="5" t="s">
        <v>395</v>
      </c>
      <c r="CD43" s="5" t="s">
        <v>395</v>
      </c>
      <c r="CE43" s="5" t="s">
        <v>395</v>
      </c>
      <c r="CF43" s="5" t="s">
        <v>395</v>
      </c>
      <c r="CG43" s="5" t="s">
        <v>395</v>
      </c>
      <c r="CH43" s="5" t="s">
        <v>395</v>
      </c>
      <c r="CI43" s="220" t="s">
        <v>395</v>
      </c>
      <c r="CJ43" s="220" t="s">
        <v>395</v>
      </c>
      <c r="CK43" s="220" t="s">
        <v>395</v>
      </c>
      <c r="CL43" s="220" t="s">
        <v>395</v>
      </c>
      <c r="CM43" s="220" t="s">
        <v>395</v>
      </c>
      <c r="CN43" s="220" t="s">
        <v>395</v>
      </c>
      <c r="CO43" s="220" t="s">
        <v>395</v>
      </c>
      <c r="CP43" s="220" t="s">
        <v>395</v>
      </c>
      <c r="CQ43" s="57" t="s">
        <v>395</v>
      </c>
      <c r="CR43" s="57" t="s">
        <v>395</v>
      </c>
      <c r="CS43" s="57" t="s">
        <v>395</v>
      </c>
      <c r="CT43" s="57" t="s">
        <v>395</v>
      </c>
      <c r="CU43" s="57" t="s">
        <v>395</v>
      </c>
      <c r="CV43" s="57" t="s">
        <v>395</v>
      </c>
      <c r="CW43" s="57" t="s">
        <v>395</v>
      </c>
      <c r="CX43" s="57" t="s">
        <v>395</v>
      </c>
      <c r="CY43" s="59" t="s">
        <v>395</v>
      </c>
    </row>
    <row r="44" spans="1:112" x14ac:dyDescent="0.3">
      <c r="A44" s="157" t="s">
        <v>30</v>
      </c>
      <c r="B44" s="157" t="s">
        <v>30</v>
      </c>
      <c r="C44" s="205" t="s">
        <v>20</v>
      </c>
      <c r="D44" s="157"/>
      <c r="E44" s="221"/>
      <c r="F44" s="221"/>
      <c r="G44" s="221"/>
      <c r="H44" s="1">
        <v>2023</v>
      </c>
      <c r="I44" s="75" t="s">
        <v>33</v>
      </c>
      <c r="J44" s="75">
        <v>10</v>
      </c>
      <c r="K44" s="155">
        <v>0.47031455446547749</v>
      </c>
      <c r="L44" s="24" t="s">
        <v>394</v>
      </c>
      <c r="M44" s="224">
        <v>2.536487166582788E-2</v>
      </c>
      <c r="N44" s="91">
        <v>0.30374937091092097</v>
      </c>
      <c r="O44" s="56">
        <v>2.583558127830901</v>
      </c>
      <c r="P44" s="91">
        <v>2.2323603422244589</v>
      </c>
      <c r="Q44" s="56">
        <v>5.6638147961751386</v>
      </c>
      <c r="R44" s="56">
        <v>5.5147760442878706</v>
      </c>
      <c r="S44" s="91">
        <v>1.4661399094111727</v>
      </c>
      <c r="T44" s="55">
        <v>17.78976346250629</v>
      </c>
      <c r="U44" s="5">
        <f t="shared" si="3"/>
        <v>165.39359639808671</v>
      </c>
      <c r="V44" s="226" t="s">
        <v>264</v>
      </c>
      <c r="W44" s="226">
        <v>2.0786767107938153E-2</v>
      </c>
      <c r="X44" s="226">
        <v>2.4148781325745345E-2</v>
      </c>
      <c r="Y44" s="226">
        <v>2.1735955546429046E-2</v>
      </c>
      <c r="Z44" s="226" t="s">
        <v>264</v>
      </c>
      <c r="AA44" s="226" t="s">
        <v>265</v>
      </c>
      <c r="AB44" s="226" t="s">
        <v>264</v>
      </c>
      <c r="AC44" s="81" t="s">
        <v>266</v>
      </c>
      <c r="AD44" s="81">
        <v>6.667150398011254E-2</v>
      </c>
      <c r="AE44" s="24">
        <f t="shared" si="4"/>
        <v>6.667150398011254E-2</v>
      </c>
      <c r="AF44" s="157" t="s">
        <v>395</v>
      </c>
      <c r="AG44" s="160" t="s">
        <v>395</v>
      </c>
      <c r="AH44" s="86">
        <v>5.7285741848350371</v>
      </c>
      <c r="AI44" s="85" t="s">
        <v>248</v>
      </c>
      <c r="AJ44" s="85">
        <v>9.7459643706990798E-2</v>
      </c>
      <c r="AK44" s="85" t="s">
        <v>133</v>
      </c>
      <c r="AL44" s="85" t="s">
        <v>133</v>
      </c>
      <c r="AM44" s="85">
        <v>5.3199562672840699E-2</v>
      </c>
      <c r="AN44" s="85">
        <v>0.73876133513409226</v>
      </c>
      <c r="AO44" s="85">
        <v>0.17499517653868418</v>
      </c>
      <c r="AP44" s="85" t="s">
        <v>395</v>
      </c>
      <c r="AQ44" s="85">
        <v>0.57401762171200721</v>
      </c>
      <c r="AR44" s="85" t="s">
        <v>133</v>
      </c>
      <c r="AS44" s="85">
        <v>0.75417068621776329</v>
      </c>
      <c r="AT44" s="85" t="s">
        <v>249</v>
      </c>
      <c r="AU44" s="85" t="s">
        <v>250</v>
      </c>
      <c r="AV44" s="85" t="s">
        <v>133</v>
      </c>
      <c r="AW44" s="85" t="s">
        <v>133</v>
      </c>
      <c r="AX44" s="85" t="s">
        <v>133</v>
      </c>
      <c r="AY44" s="85" t="s">
        <v>133</v>
      </c>
      <c r="AZ44" s="85" t="s">
        <v>133</v>
      </c>
      <c r="BA44" s="85" t="s">
        <v>133</v>
      </c>
      <c r="BB44" s="85" t="s">
        <v>133</v>
      </c>
      <c r="BC44" s="205" t="s">
        <v>395</v>
      </c>
      <c r="BD44" s="205" t="s">
        <v>395</v>
      </c>
      <c r="BE44" s="205" t="s">
        <v>395</v>
      </c>
      <c r="BF44" s="205" t="s">
        <v>395</v>
      </c>
      <c r="BG44" s="205" t="s">
        <v>395</v>
      </c>
      <c r="BH44" s="205" t="s">
        <v>395</v>
      </c>
      <c r="BI44" s="205" t="s">
        <v>395</v>
      </c>
      <c r="BJ44" s="219" t="s">
        <v>395</v>
      </c>
      <c r="BK44" s="221" t="s">
        <v>395</v>
      </c>
      <c r="BL44" s="157" t="s">
        <v>395</v>
      </c>
      <c r="BM44" s="156" t="s">
        <v>395</v>
      </c>
      <c r="BN44" s="182">
        <v>78</v>
      </c>
      <c r="BO44" s="5" t="s">
        <v>395</v>
      </c>
      <c r="BP44" s="5" t="s">
        <v>395</v>
      </c>
      <c r="BQ44" s="5" t="s">
        <v>395</v>
      </c>
      <c r="BR44" s="5" t="s">
        <v>395</v>
      </c>
      <c r="BS44" s="5" t="s">
        <v>395</v>
      </c>
      <c r="BT44" s="5" t="s">
        <v>395</v>
      </c>
      <c r="BU44" s="5" t="s">
        <v>395</v>
      </c>
      <c r="BV44" s="5" t="s">
        <v>395</v>
      </c>
      <c r="BW44" s="5" t="s">
        <v>395</v>
      </c>
      <c r="BX44" s="5" t="s">
        <v>395</v>
      </c>
      <c r="BY44" s="5" t="s">
        <v>395</v>
      </c>
      <c r="BZ44" s="5" t="s">
        <v>395</v>
      </c>
      <c r="CA44" s="5" t="s">
        <v>395</v>
      </c>
      <c r="CB44" s="5" t="s">
        <v>395</v>
      </c>
      <c r="CC44" s="5" t="s">
        <v>395</v>
      </c>
      <c r="CD44" s="5" t="s">
        <v>395</v>
      </c>
      <c r="CE44" s="5" t="s">
        <v>395</v>
      </c>
      <c r="CF44" s="5" t="s">
        <v>395</v>
      </c>
      <c r="CG44" s="5" t="s">
        <v>395</v>
      </c>
      <c r="CH44" s="5" t="s">
        <v>395</v>
      </c>
      <c r="CI44" s="220" t="s">
        <v>395</v>
      </c>
      <c r="CJ44" s="220" t="s">
        <v>395</v>
      </c>
      <c r="CK44" s="220" t="s">
        <v>395</v>
      </c>
      <c r="CL44" s="220" t="s">
        <v>395</v>
      </c>
      <c r="CM44" s="220" t="s">
        <v>395</v>
      </c>
      <c r="CN44" s="220" t="s">
        <v>395</v>
      </c>
      <c r="CO44" s="220" t="s">
        <v>395</v>
      </c>
      <c r="CP44" s="220" t="s">
        <v>395</v>
      </c>
      <c r="CQ44" s="57" t="s">
        <v>395</v>
      </c>
      <c r="CR44" s="57" t="s">
        <v>395</v>
      </c>
      <c r="CS44" s="57" t="s">
        <v>395</v>
      </c>
      <c r="CT44" s="57" t="s">
        <v>395</v>
      </c>
      <c r="CU44" s="57" t="s">
        <v>395</v>
      </c>
      <c r="CV44" s="57" t="s">
        <v>395</v>
      </c>
      <c r="CW44" s="57" t="s">
        <v>395</v>
      </c>
      <c r="CX44" s="57" t="s">
        <v>395</v>
      </c>
      <c r="CY44" s="59" t="s">
        <v>395</v>
      </c>
    </row>
    <row r="45" spans="1:112" x14ac:dyDescent="0.3">
      <c r="A45" s="160" t="s">
        <v>8</v>
      </c>
      <c r="B45" s="160" t="s">
        <v>8</v>
      </c>
      <c r="C45" s="205" t="s">
        <v>20</v>
      </c>
      <c r="D45" s="160"/>
      <c r="E45" s="221"/>
      <c r="F45" s="221"/>
      <c r="G45" s="221"/>
      <c r="H45" s="1">
        <v>2023</v>
      </c>
      <c r="I45" s="75" t="s">
        <v>33</v>
      </c>
      <c r="J45" s="75">
        <v>10</v>
      </c>
      <c r="K45" s="155">
        <v>0.49073427155073501</v>
      </c>
      <c r="L45" s="24" t="s">
        <v>394</v>
      </c>
      <c r="M45" s="224" t="s">
        <v>138</v>
      </c>
      <c r="N45" s="224">
        <v>3.6500049198071434E-2</v>
      </c>
      <c r="O45" s="91">
        <v>0.35328643117189806</v>
      </c>
      <c r="P45" s="91">
        <v>0.35817179966545309</v>
      </c>
      <c r="Q45" s="56">
        <v>1.810075765030011</v>
      </c>
      <c r="R45" s="56">
        <v>1.3076847387582407</v>
      </c>
      <c r="S45" s="91">
        <v>0.59681196497097311</v>
      </c>
      <c r="T45" s="56">
        <v>4.4625307487946468</v>
      </c>
      <c r="U45" s="5">
        <f t="shared" si="3"/>
        <v>41.818548113211016</v>
      </c>
      <c r="V45" s="226" t="s">
        <v>267</v>
      </c>
      <c r="W45" s="226">
        <v>2.2334521406286688E-2</v>
      </c>
      <c r="X45" s="226">
        <v>2.2893643044079089E-2</v>
      </c>
      <c r="Y45" s="226">
        <v>1.3704410630372151E-2</v>
      </c>
      <c r="Z45" s="226">
        <v>1.4148897910877397E-2</v>
      </c>
      <c r="AA45" s="226" t="s">
        <v>268</v>
      </c>
      <c r="AB45" s="226" t="s">
        <v>267</v>
      </c>
      <c r="AC45" s="81" t="s">
        <v>269</v>
      </c>
      <c r="AD45" s="81">
        <v>7.3081472991615326E-2</v>
      </c>
      <c r="AE45" s="24">
        <f t="shared" si="4"/>
        <v>5.8932575080737931E-2</v>
      </c>
      <c r="AF45" s="160" t="s">
        <v>395</v>
      </c>
      <c r="AG45" s="160" t="s">
        <v>395</v>
      </c>
      <c r="AH45" s="86">
        <v>4.7247870351132342</v>
      </c>
      <c r="AI45" s="85" t="s">
        <v>248</v>
      </c>
      <c r="AJ45" s="85" t="s">
        <v>36</v>
      </c>
      <c r="AK45" s="85" t="s">
        <v>133</v>
      </c>
      <c r="AL45" s="85" t="s">
        <v>133</v>
      </c>
      <c r="AM45" s="85" t="s">
        <v>133</v>
      </c>
      <c r="AN45" s="85">
        <v>0.84695616039891941</v>
      </c>
      <c r="AO45" s="85">
        <v>0.10326199875337626</v>
      </c>
      <c r="AP45" s="85" t="s">
        <v>395</v>
      </c>
      <c r="AQ45" s="85">
        <v>0.36719994459450095</v>
      </c>
      <c r="AR45" s="85" t="s">
        <v>133</v>
      </c>
      <c r="AS45" s="85">
        <v>0.26733153265461596</v>
      </c>
      <c r="AT45" s="85" t="s">
        <v>249</v>
      </c>
      <c r="AU45" s="85" t="s">
        <v>250</v>
      </c>
      <c r="AV45" s="85" t="s">
        <v>133</v>
      </c>
      <c r="AW45" s="85" t="s">
        <v>133</v>
      </c>
      <c r="AX45" s="85" t="s">
        <v>133</v>
      </c>
      <c r="AY45" s="85" t="s">
        <v>133</v>
      </c>
      <c r="AZ45" s="85" t="s">
        <v>133</v>
      </c>
      <c r="BA45" s="85" t="s">
        <v>133</v>
      </c>
      <c r="BB45" s="85" t="s">
        <v>133</v>
      </c>
      <c r="BC45" s="205" t="s">
        <v>395</v>
      </c>
      <c r="BD45" s="205" t="s">
        <v>395</v>
      </c>
      <c r="BE45" s="205" t="s">
        <v>395</v>
      </c>
      <c r="BF45" s="205" t="s">
        <v>395</v>
      </c>
      <c r="BG45" s="205" t="s">
        <v>395</v>
      </c>
      <c r="BH45" s="205" t="s">
        <v>395</v>
      </c>
      <c r="BI45" s="205" t="s">
        <v>395</v>
      </c>
      <c r="BJ45" s="219" t="s">
        <v>395</v>
      </c>
      <c r="BK45" s="221" t="s">
        <v>395</v>
      </c>
      <c r="BL45" s="160" t="s">
        <v>395</v>
      </c>
      <c r="BM45" s="156" t="s">
        <v>395</v>
      </c>
      <c r="BN45" s="182">
        <v>88</v>
      </c>
      <c r="BO45" s="5" t="s">
        <v>395</v>
      </c>
      <c r="BP45" s="5" t="s">
        <v>395</v>
      </c>
      <c r="BQ45" s="5" t="s">
        <v>395</v>
      </c>
      <c r="BR45" s="5" t="s">
        <v>395</v>
      </c>
      <c r="BS45" s="5" t="s">
        <v>395</v>
      </c>
      <c r="BT45" s="5" t="s">
        <v>395</v>
      </c>
      <c r="BU45" s="5" t="s">
        <v>395</v>
      </c>
      <c r="BV45" s="5" t="s">
        <v>395</v>
      </c>
      <c r="BW45" s="5" t="s">
        <v>395</v>
      </c>
      <c r="BX45" s="5" t="s">
        <v>395</v>
      </c>
      <c r="BY45" s="5" t="s">
        <v>395</v>
      </c>
      <c r="BZ45" s="5" t="s">
        <v>395</v>
      </c>
      <c r="CA45" s="5" t="s">
        <v>395</v>
      </c>
      <c r="CB45" s="5" t="s">
        <v>395</v>
      </c>
      <c r="CC45" s="5" t="s">
        <v>395</v>
      </c>
      <c r="CD45" s="5" t="s">
        <v>395</v>
      </c>
      <c r="CE45" s="5" t="s">
        <v>395</v>
      </c>
      <c r="CF45" s="5" t="s">
        <v>395</v>
      </c>
      <c r="CG45" s="5" t="s">
        <v>395</v>
      </c>
      <c r="CH45" s="5" t="s">
        <v>395</v>
      </c>
      <c r="CI45" s="220" t="s">
        <v>395</v>
      </c>
      <c r="CJ45" s="220" t="s">
        <v>395</v>
      </c>
      <c r="CK45" s="220" t="s">
        <v>395</v>
      </c>
      <c r="CL45" s="220" t="s">
        <v>395</v>
      </c>
      <c r="CM45" s="220" t="s">
        <v>395</v>
      </c>
      <c r="CN45" s="220" t="s">
        <v>395</v>
      </c>
      <c r="CO45" s="220" t="s">
        <v>395</v>
      </c>
      <c r="CP45" s="220" t="s">
        <v>395</v>
      </c>
      <c r="CQ45" s="57" t="s">
        <v>395</v>
      </c>
      <c r="CR45" s="57" t="s">
        <v>395</v>
      </c>
      <c r="CS45" s="57" t="s">
        <v>395</v>
      </c>
      <c r="CT45" s="57" t="s">
        <v>395</v>
      </c>
      <c r="CU45" s="57" t="s">
        <v>395</v>
      </c>
      <c r="CV45" s="57" t="s">
        <v>395</v>
      </c>
      <c r="CW45" s="57" t="s">
        <v>395</v>
      </c>
      <c r="CX45" s="57" t="s">
        <v>395</v>
      </c>
      <c r="CY45" s="59" t="s">
        <v>395</v>
      </c>
    </row>
    <row r="46" spans="1:112" x14ac:dyDescent="0.3">
      <c r="A46" s="160" t="s">
        <v>21</v>
      </c>
      <c r="B46" s="160" t="s">
        <v>21</v>
      </c>
      <c r="C46" s="205" t="s">
        <v>20</v>
      </c>
      <c r="D46" s="160"/>
      <c r="E46" s="221"/>
      <c r="F46" s="221"/>
      <c r="G46" s="221"/>
      <c r="H46" s="1">
        <v>2023</v>
      </c>
      <c r="I46" s="75" t="s">
        <v>33</v>
      </c>
      <c r="J46" s="75">
        <v>10</v>
      </c>
      <c r="K46" s="155">
        <v>0.49688394812196196</v>
      </c>
      <c r="L46" s="24" t="s">
        <v>394</v>
      </c>
      <c r="M46" s="224" t="s">
        <v>39</v>
      </c>
      <c r="N46" s="224">
        <v>5.659572332095171E-2</v>
      </c>
      <c r="O46" s="91">
        <v>0.98138239132617211</v>
      </c>
      <c r="P46" s="91">
        <v>0.79734966368838467</v>
      </c>
      <c r="Q46" s="56">
        <v>4.6509085433189439</v>
      </c>
      <c r="R46" s="56">
        <v>3.8155004517618711</v>
      </c>
      <c r="S46" s="56">
        <v>1.5738078506174078</v>
      </c>
      <c r="T46" s="55">
        <v>11.875544624033731</v>
      </c>
      <c r="U46" s="5">
        <f t="shared" si="3"/>
        <v>111.47668386367518</v>
      </c>
      <c r="V46" s="226" t="s">
        <v>270</v>
      </c>
      <c r="W46" s="226">
        <v>7.0297747817661238E-2</v>
      </c>
      <c r="X46" s="226">
        <v>3.5220648851170627E-2</v>
      </c>
      <c r="Y46" s="226">
        <v>2.4850217981654446E-2</v>
      </c>
      <c r="Z46" s="226">
        <v>1.4382840428653456E-2</v>
      </c>
      <c r="AA46" s="226">
        <v>1.6653400402930407E-2</v>
      </c>
      <c r="AB46" s="226" t="s">
        <v>270</v>
      </c>
      <c r="AC46" s="81" t="s">
        <v>271</v>
      </c>
      <c r="AD46" s="228">
        <v>0.16140485548207018</v>
      </c>
      <c r="AE46" s="24">
        <f t="shared" si="4"/>
        <v>0.14702201505341672</v>
      </c>
      <c r="AF46" s="160" t="s">
        <v>395</v>
      </c>
      <c r="AG46" s="160" t="s">
        <v>395</v>
      </c>
      <c r="AH46" s="84">
        <v>19.138014723727856</v>
      </c>
      <c r="AI46" s="85" t="s">
        <v>248</v>
      </c>
      <c r="AJ46" s="85" t="s">
        <v>36</v>
      </c>
      <c r="AK46" s="85" t="s">
        <v>133</v>
      </c>
      <c r="AL46" s="85" t="s">
        <v>133</v>
      </c>
      <c r="AM46" s="85">
        <v>5.0144270959738967E-2</v>
      </c>
      <c r="AN46" s="86">
        <v>1.4337836744599952</v>
      </c>
      <c r="AO46" s="85">
        <v>0.49959550198204034</v>
      </c>
      <c r="AP46" s="85" t="s">
        <v>395</v>
      </c>
      <c r="AQ46" s="85">
        <v>0.66514305746568514</v>
      </c>
      <c r="AR46" s="85" t="s">
        <v>133</v>
      </c>
      <c r="AS46" s="85">
        <v>0.54766334978291942</v>
      </c>
      <c r="AT46" s="85" t="s">
        <v>249</v>
      </c>
      <c r="AU46" s="85" t="s">
        <v>250</v>
      </c>
      <c r="AV46" s="85" t="s">
        <v>133</v>
      </c>
      <c r="AW46" s="85" t="s">
        <v>133</v>
      </c>
      <c r="AX46" s="85" t="s">
        <v>133</v>
      </c>
      <c r="AY46" s="85" t="s">
        <v>133</v>
      </c>
      <c r="AZ46" s="85" t="s">
        <v>133</v>
      </c>
      <c r="BA46" s="85" t="s">
        <v>133</v>
      </c>
      <c r="BB46" s="85" t="s">
        <v>133</v>
      </c>
      <c r="BC46" s="205" t="s">
        <v>395</v>
      </c>
      <c r="BD46" s="205" t="s">
        <v>395</v>
      </c>
      <c r="BE46" s="205" t="s">
        <v>395</v>
      </c>
      <c r="BF46" s="205" t="s">
        <v>395</v>
      </c>
      <c r="BG46" s="205" t="s">
        <v>395</v>
      </c>
      <c r="BH46" s="205" t="s">
        <v>395</v>
      </c>
      <c r="BI46" s="205" t="s">
        <v>395</v>
      </c>
      <c r="BJ46" s="219" t="s">
        <v>395</v>
      </c>
      <c r="BK46" s="221" t="s">
        <v>395</v>
      </c>
      <c r="BL46" s="160" t="s">
        <v>395</v>
      </c>
      <c r="BM46" s="156" t="s">
        <v>395</v>
      </c>
      <c r="BN46" s="182">
        <v>69</v>
      </c>
      <c r="BO46" s="5" t="s">
        <v>395</v>
      </c>
      <c r="BP46" s="5" t="s">
        <v>395</v>
      </c>
      <c r="BQ46" s="5" t="s">
        <v>395</v>
      </c>
      <c r="BR46" s="5" t="s">
        <v>395</v>
      </c>
      <c r="BS46" s="5" t="s">
        <v>395</v>
      </c>
      <c r="BT46" s="5" t="s">
        <v>395</v>
      </c>
      <c r="BU46" s="5" t="s">
        <v>395</v>
      </c>
      <c r="BV46" s="5" t="s">
        <v>395</v>
      </c>
      <c r="BW46" s="5" t="s">
        <v>395</v>
      </c>
      <c r="BX46" s="5" t="s">
        <v>395</v>
      </c>
      <c r="BY46" s="5" t="s">
        <v>395</v>
      </c>
      <c r="BZ46" s="5" t="s">
        <v>395</v>
      </c>
      <c r="CA46" s="5" t="s">
        <v>395</v>
      </c>
      <c r="CB46" s="5" t="s">
        <v>395</v>
      </c>
      <c r="CC46" s="5" t="s">
        <v>395</v>
      </c>
      <c r="CD46" s="5" t="s">
        <v>395</v>
      </c>
      <c r="CE46" s="5" t="s">
        <v>395</v>
      </c>
      <c r="CF46" s="5" t="s">
        <v>395</v>
      </c>
      <c r="CG46" s="5" t="s">
        <v>395</v>
      </c>
      <c r="CH46" s="5" t="s">
        <v>395</v>
      </c>
      <c r="CI46" s="220" t="s">
        <v>395</v>
      </c>
      <c r="CJ46" s="220" t="s">
        <v>395</v>
      </c>
      <c r="CK46" s="220" t="s">
        <v>395</v>
      </c>
      <c r="CL46" s="220" t="s">
        <v>395</v>
      </c>
      <c r="CM46" s="220" t="s">
        <v>395</v>
      </c>
      <c r="CN46" s="220" t="s">
        <v>395</v>
      </c>
      <c r="CO46" s="220" t="s">
        <v>395</v>
      </c>
      <c r="CP46" s="220" t="s">
        <v>395</v>
      </c>
      <c r="CQ46" s="57" t="s">
        <v>395</v>
      </c>
      <c r="CR46" s="57" t="s">
        <v>395</v>
      </c>
      <c r="CS46" s="57" t="s">
        <v>395</v>
      </c>
      <c r="CT46" s="57" t="s">
        <v>395</v>
      </c>
      <c r="CU46" s="57" t="s">
        <v>395</v>
      </c>
      <c r="CV46" s="57" t="s">
        <v>395</v>
      </c>
      <c r="CW46" s="57" t="s">
        <v>395</v>
      </c>
      <c r="CX46" s="57" t="s">
        <v>395</v>
      </c>
      <c r="CY46" s="59" t="s">
        <v>395</v>
      </c>
    </row>
    <row r="47" spans="1:112" x14ac:dyDescent="0.3">
      <c r="A47" s="160" t="s">
        <v>22</v>
      </c>
      <c r="B47" s="160" t="s">
        <v>22</v>
      </c>
      <c r="C47" s="205" t="s">
        <v>20</v>
      </c>
      <c r="D47" s="160"/>
      <c r="E47" s="221"/>
      <c r="F47" s="221"/>
      <c r="G47" s="245">
        <v>45202</v>
      </c>
      <c r="H47" s="1">
        <v>2023</v>
      </c>
      <c r="I47" s="75" t="s">
        <v>33</v>
      </c>
      <c r="J47" s="75">
        <v>10</v>
      </c>
      <c r="K47" s="155">
        <v>0.54957826924355802</v>
      </c>
      <c r="L47" s="24" t="s">
        <v>394</v>
      </c>
      <c r="M47" s="91">
        <v>0.72300858152448266</v>
      </c>
      <c r="N47" s="56">
        <v>1.6222766279656742</v>
      </c>
      <c r="O47" s="56">
        <v>6.1812670368500759</v>
      </c>
      <c r="P47" s="56">
        <v>5.5446138313982845</v>
      </c>
      <c r="Q47" s="55">
        <v>13.578566380615852</v>
      </c>
      <c r="R47" s="55">
        <v>11.905350832912671</v>
      </c>
      <c r="S47" s="56">
        <v>2.9672488642099952</v>
      </c>
      <c r="T47" s="55">
        <v>42.522332155477031</v>
      </c>
      <c r="U47" s="5">
        <f t="shared" si="3"/>
        <v>336.41903613633639</v>
      </c>
      <c r="V47" s="226" t="s">
        <v>272</v>
      </c>
      <c r="W47" s="227">
        <v>0.20335794646501792</v>
      </c>
      <c r="X47" s="226">
        <v>8.2162996702411478E-2</v>
      </c>
      <c r="Y47" s="227">
        <v>0.17063134613776623</v>
      </c>
      <c r="Z47" s="226">
        <v>1.4524230176377072E-2</v>
      </c>
      <c r="AA47" s="226">
        <v>1.9537240636599222E-2</v>
      </c>
      <c r="AB47" s="226">
        <v>1.8040714007108938E-2</v>
      </c>
      <c r="AC47" s="81" t="s">
        <v>273</v>
      </c>
      <c r="AD47" s="228">
        <v>0.5082544741252808</v>
      </c>
      <c r="AE47" s="24">
        <f t="shared" si="4"/>
        <v>0.49373024394890375</v>
      </c>
      <c r="AF47" s="160" t="s">
        <v>395</v>
      </c>
      <c r="AG47" s="160" t="s">
        <v>395</v>
      </c>
      <c r="AH47" s="86">
        <v>4.8773646711980998</v>
      </c>
      <c r="AI47" s="85" t="s">
        <v>248</v>
      </c>
      <c r="AJ47" s="85">
        <v>9.1297464035159565E-2</v>
      </c>
      <c r="AK47" s="85" t="s">
        <v>133</v>
      </c>
      <c r="AL47" s="85" t="s">
        <v>133</v>
      </c>
      <c r="AM47" s="85">
        <v>8.912728960227119E-2</v>
      </c>
      <c r="AN47" s="85">
        <v>0.27225452460895921</v>
      </c>
      <c r="AO47" s="85">
        <v>0.12799934485300141</v>
      </c>
      <c r="AP47" s="85" t="s">
        <v>395</v>
      </c>
      <c r="AQ47" s="85">
        <v>0.33308765320885547</v>
      </c>
      <c r="AR47" s="85" t="s">
        <v>133</v>
      </c>
      <c r="AS47" s="85">
        <v>0.70859607457756679</v>
      </c>
      <c r="AT47" s="85">
        <v>0.4833892938061311</v>
      </c>
      <c r="AU47" s="85">
        <v>0.35380667703982754</v>
      </c>
      <c r="AV47" s="85" t="s">
        <v>133</v>
      </c>
      <c r="AW47" s="85" t="s">
        <v>133</v>
      </c>
      <c r="AX47" s="85" t="s">
        <v>133</v>
      </c>
      <c r="AY47" s="85" t="s">
        <v>133</v>
      </c>
      <c r="AZ47" s="85" t="s">
        <v>133</v>
      </c>
      <c r="BA47" s="85" t="s">
        <v>133</v>
      </c>
      <c r="BB47" s="85" t="s">
        <v>133</v>
      </c>
      <c r="BC47" s="205" t="s">
        <v>395</v>
      </c>
      <c r="BD47" s="205" t="s">
        <v>395</v>
      </c>
      <c r="BE47" s="205" t="s">
        <v>395</v>
      </c>
      <c r="BF47" s="205" t="s">
        <v>395</v>
      </c>
      <c r="BG47" s="205" t="s">
        <v>395</v>
      </c>
      <c r="BH47" s="205" t="s">
        <v>395</v>
      </c>
      <c r="BI47" s="205" t="s">
        <v>395</v>
      </c>
      <c r="BJ47" s="219" t="s">
        <v>395</v>
      </c>
      <c r="BK47" s="221" t="s">
        <v>395</v>
      </c>
      <c r="BL47" s="160" t="s">
        <v>395</v>
      </c>
      <c r="BM47" s="156" t="s">
        <v>395</v>
      </c>
      <c r="BN47" s="182">
        <v>120</v>
      </c>
      <c r="BO47" s="5" t="s">
        <v>395</v>
      </c>
      <c r="BP47" s="5" t="s">
        <v>395</v>
      </c>
      <c r="BQ47" s="5" t="s">
        <v>395</v>
      </c>
      <c r="BR47" s="5" t="s">
        <v>395</v>
      </c>
      <c r="BS47" s="5" t="s">
        <v>395</v>
      </c>
      <c r="BT47" s="5" t="s">
        <v>395</v>
      </c>
      <c r="BU47" s="5" t="s">
        <v>395</v>
      </c>
      <c r="BV47" s="5" t="s">
        <v>395</v>
      </c>
      <c r="BW47" s="5" t="s">
        <v>395</v>
      </c>
      <c r="BX47" s="5" t="s">
        <v>395</v>
      </c>
      <c r="BY47" s="5" t="s">
        <v>395</v>
      </c>
      <c r="BZ47" s="5" t="s">
        <v>395</v>
      </c>
      <c r="CA47" s="5" t="s">
        <v>395</v>
      </c>
      <c r="CB47" s="5" t="s">
        <v>395</v>
      </c>
      <c r="CC47" s="5" t="s">
        <v>395</v>
      </c>
      <c r="CD47" s="5" t="s">
        <v>395</v>
      </c>
      <c r="CE47" s="5" t="s">
        <v>395</v>
      </c>
      <c r="CF47" s="5" t="s">
        <v>395</v>
      </c>
      <c r="CG47" s="5" t="s">
        <v>395</v>
      </c>
      <c r="CH47" s="5" t="s">
        <v>395</v>
      </c>
      <c r="CI47" s="220" t="s">
        <v>395</v>
      </c>
      <c r="CJ47" s="220" t="s">
        <v>395</v>
      </c>
      <c r="CK47" s="220" t="s">
        <v>395</v>
      </c>
      <c r="CL47" s="220" t="s">
        <v>395</v>
      </c>
      <c r="CM47" s="220" t="s">
        <v>395</v>
      </c>
      <c r="CN47" s="220" t="s">
        <v>395</v>
      </c>
      <c r="CO47" s="220" t="s">
        <v>395</v>
      </c>
      <c r="CP47" s="220" t="s">
        <v>395</v>
      </c>
      <c r="CQ47" s="57" t="s">
        <v>395</v>
      </c>
      <c r="CR47" s="57" t="s">
        <v>395</v>
      </c>
      <c r="CS47" s="57" t="s">
        <v>395</v>
      </c>
      <c r="CT47" s="57" t="s">
        <v>395</v>
      </c>
      <c r="CU47" s="57" t="s">
        <v>395</v>
      </c>
      <c r="CV47" s="57" t="s">
        <v>395</v>
      </c>
      <c r="CW47" s="57" t="s">
        <v>395</v>
      </c>
      <c r="CX47" s="57" t="s">
        <v>395</v>
      </c>
      <c r="CY47" s="59" t="s">
        <v>395</v>
      </c>
    </row>
    <row r="48" spans="1:112" x14ac:dyDescent="0.3">
      <c r="A48" s="98" t="s">
        <v>4</v>
      </c>
      <c r="B48" s="98" t="s">
        <v>4</v>
      </c>
      <c r="C48" s="132" t="s">
        <v>20</v>
      </c>
      <c r="D48" s="132"/>
      <c r="E48" s="98"/>
      <c r="F48" s="98"/>
      <c r="G48" s="245">
        <v>44830</v>
      </c>
      <c r="H48" s="1" t="s">
        <v>168</v>
      </c>
      <c r="I48" s="75" t="s">
        <v>33</v>
      </c>
      <c r="J48" s="75" t="s">
        <v>169</v>
      </c>
      <c r="K48" s="155">
        <v>0.59</v>
      </c>
      <c r="L48" s="24" t="s">
        <v>394</v>
      </c>
      <c r="M48" s="24">
        <v>0.49717382738418098</v>
      </c>
      <c r="N48" s="134">
        <v>0.92191002897719065</v>
      </c>
      <c r="O48" s="58">
        <v>2.4129192104836594</v>
      </c>
      <c r="P48" s="58">
        <v>2.4023906092323575</v>
      </c>
      <c r="Q48" s="58">
        <v>5.4948357185078232</v>
      </c>
      <c r="R48" s="58">
        <v>5.2109328724898374</v>
      </c>
      <c r="S48" s="58">
        <v>1.3429902562633833</v>
      </c>
      <c r="T48" s="135">
        <v>18.283152523338433</v>
      </c>
      <c r="U48" s="24">
        <f t="shared" si="3"/>
        <v>134.58272808564473</v>
      </c>
      <c r="V48" s="99" t="s">
        <v>40</v>
      </c>
      <c r="W48" s="99">
        <v>8.1000000000000003E-2</v>
      </c>
      <c r="X48" s="99">
        <v>0.03</v>
      </c>
      <c r="Y48" s="99">
        <v>7.8E-2</v>
      </c>
      <c r="Z48" s="99" t="s">
        <v>40</v>
      </c>
      <c r="AA48" s="99">
        <v>1.4999999999999999E-2</v>
      </c>
      <c r="AB48" s="99" t="s">
        <v>40</v>
      </c>
      <c r="AC48" s="100" t="s">
        <v>170</v>
      </c>
      <c r="AD48" s="100">
        <v>0.20400000000000001</v>
      </c>
      <c r="AE48" s="24">
        <f t="shared" ref="AE48:AE66" si="5">SUM(V48,W48,Y48,X48,AB48,AA48)</f>
        <v>0.20400000000000001</v>
      </c>
      <c r="AF48" s="71" t="s">
        <v>171</v>
      </c>
      <c r="AG48" s="25" t="s">
        <v>395</v>
      </c>
      <c r="AH48" s="68">
        <v>6.3683631708944031</v>
      </c>
      <c r="AI48" s="72" t="s">
        <v>133</v>
      </c>
      <c r="AJ48" s="72" t="s">
        <v>395</v>
      </c>
      <c r="AK48" s="134">
        <v>3.771611949447419E-2</v>
      </c>
      <c r="AL48" s="72" t="s">
        <v>69</v>
      </c>
      <c r="AM48" s="134">
        <v>0.13227684929778064</v>
      </c>
      <c r="AN48" s="134">
        <v>0.45006941064056094</v>
      </c>
      <c r="AO48" s="134">
        <v>5.9873438260587358E-2</v>
      </c>
      <c r="AP48" s="134" t="s">
        <v>395</v>
      </c>
      <c r="AQ48" s="134">
        <v>0.42066453927560521</v>
      </c>
      <c r="AR48" s="72" t="s">
        <v>65</v>
      </c>
      <c r="AS48" s="134">
        <v>0.71437070690680926</v>
      </c>
      <c r="AT48" s="134">
        <v>0.31413272756774291</v>
      </c>
      <c r="AU48" s="134">
        <v>0.28703553464221959</v>
      </c>
      <c r="AV48" s="58" t="s">
        <v>65</v>
      </c>
      <c r="AW48" s="58" t="s">
        <v>65</v>
      </c>
      <c r="AX48" s="58" t="s">
        <v>395</v>
      </c>
      <c r="AY48" s="58" t="s">
        <v>395</v>
      </c>
      <c r="AZ48" s="58" t="s">
        <v>395</v>
      </c>
      <c r="BA48" s="58" t="s">
        <v>395</v>
      </c>
      <c r="BB48" s="58" t="s">
        <v>395</v>
      </c>
      <c r="BC48" s="24" t="s">
        <v>395</v>
      </c>
      <c r="BD48" s="24" t="s">
        <v>395</v>
      </c>
      <c r="BE48" s="24" t="s">
        <v>395</v>
      </c>
      <c r="BF48" s="24" t="s">
        <v>395</v>
      </c>
      <c r="BG48" s="24" t="s">
        <v>395</v>
      </c>
      <c r="BH48" s="24" t="s">
        <v>395</v>
      </c>
      <c r="BI48" s="24" t="s">
        <v>395</v>
      </c>
      <c r="BJ48" s="24" t="s">
        <v>395</v>
      </c>
      <c r="BK48" s="24" t="s">
        <v>395</v>
      </c>
      <c r="BL48" s="24" t="s">
        <v>395</v>
      </c>
      <c r="BM48" s="24" t="s">
        <v>395</v>
      </c>
      <c r="BN48" s="54">
        <v>130</v>
      </c>
      <c r="BO48" s="136" t="s">
        <v>395</v>
      </c>
      <c r="BP48" s="136" t="s">
        <v>395</v>
      </c>
      <c r="BQ48" s="136" t="s">
        <v>395</v>
      </c>
      <c r="BR48" s="136" t="s">
        <v>395</v>
      </c>
      <c r="BS48" s="136" t="s">
        <v>395</v>
      </c>
      <c r="BT48" s="136" t="s">
        <v>395</v>
      </c>
      <c r="BU48" s="136" t="s">
        <v>395</v>
      </c>
      <c r="BV48" s="136" t="s">
        <v>395</v>
      </c>
      <c r="BW48" s="136" t="s">
        <v>395</v>
      </c>
      <c r="BX48" s="136" t="s">
        <v>395</v>
      </c>
      <c r="BY48" s="136" t="s">
        <v>395</v>
      </c>
      <c r="BZ48" s="136" t="s">
        <v>395</v>
      </c>
      <c r="CA48" s="136" t="s">
        <v>395</v>
      </c>
      <c r="CB48" s="136" t="s">
        <v>395</v>
      </c>
      <c r="CC48" s="136" t="s">
        <v>395</v>
      </c>
      <c r="CD48" s="136" t="s">
        <v>395</v>
      </c>
      <c r="CE48" s="136" t="s">
        <v>395</v>
      </c>
      <c r="CF48" s="136" t="s">
        <v>395</v>
      </c>
      <c r="CG48" s="136" t="s">
        <v>395</v>
      </c>
      <c r="CH48" s="136" t="s">
        <v>395</v>
      </c>
      <c r="CI48" s="136" t="s">
        <v>395</v>
      </c>
      <c r="CJ48" s="136" t="s">
        <v>395</v>
      </c>
      <c r="CK48" s="136" t="s">
        <v>395</v>
      </c>
      <c r="CL48" s="136" t="s">
        <v>395</v>
      </c>
      <c r="CM48" s="136" t="s">
        <v>395</v>
      </c>
      <c r="CN48" s="136" t="s">
        <v>395</v>
      </c>
      <c r="CO48" s="136" t="s">
        <v>395</v>
      </c>
      <c r="CP48" s="136" t="s">
        <v>395</v>
      </c>
      <c r="CQ48" s="136" t="s">
        <v>395</v>
      </c>
      <c r="CR48" s="136" t="s">
        <v>395</v>
      </c>
      <c r="CS48" s="136" t="s">
        <v>395</v>
      </c>
      <c r="CT48" s="136" t="s">
        <v>395</v>
      </c>
      <c r="CU48" s="136" t="s">
        <v>395</v>
      </c>
      <c r="CV48" s="136" t="s">
        <v>395</v>
      </c>
      <c r="CW48" s="136" t="s">
        <v>395</v>
      </c>
      <c r="CX48" s="136" t="s">
        <v>395</v>
      </c>
      <c r="CY48" s="137" t="s">
        <v>395</v>
      </c>
      <c r="CZ48" s="136"/>
      <c r="DA48" s="57"/>
      <c r="DB48" s="57"/>
      <c r="DC48" s="57"/>
      <c r="DD48" s="57"/>
      <c r="DE48" s="57"/>
      <c r="DF48" s="57"/>
      <c r="DG48" s="57"/>
      <c r="DH48" s="59"/>
    </row>
    <row r="49" spans="1:112" x14ac:dyDescent="0.3">
      <c r="A49" s="98" t="s">
        <v>30</v>
      </c>
      <c r="B49" s="98" t="s">
        <v>30</v>
      </c>
      <c r="C49" s="132" t="s">
        <v>20</v>
      </c>
      <c r="D49" s="132"/>
      <c r="E49" s="98"/>
      <c r="F49" s="98"/>
      <c r="G49" s="245">
        <v>44816</v>
      </c>
      <c r="H49" s="1" t="s">
        <v>168</v>
      </c>
      <c r="I49" s="75" t="s">
        <v>33</v>
      </c>
      <c r="J49" s="75" t="s">
        <v>169</v>
      </c>
      <c r="K49" s="155">
        <v>0.45</v>
      </c>
      <c r="L49" s="24" t="s">
        <v>394</v>
      </c>
      <c r="M49" s="138">
        <v>5.9579637576055222E-2</v>
      </c>
      <c r="N49" s="134">
        <v>0.65090235661125906</v>
      </c>
      <c r="O49" s="58">
        <v>4.0602601347602025</v>
      </c>
      <c r="P49" s="58">
        <v>3.6162215386167516</v>
      </c>
      <c r="Q49" s="58">
        <v>8.4312165565681987</v>
      </c>
      <c r="R49" s="58">
        <v>7.3147901366171375</v>
      </c>
      <c r="S49" s="58">
        <v>1.9493858338379573</v>
      </c>
      <c r="T49" s="135">
        <v>26.082356194587565</v>
      </c>
      <c r="U49" s="24">
        <f t="shared" ref="U49:U65" si="6">SUM(M49,N49,O49,Q49,R49,S49)*(5/K49)</f>
        <v>249.62371839967568</v>
      </c>
      <c r="V49" s="99" t="s">
        <v>40</v>
      </c>
      <c r="W49" s="99">
        <v>5.6000000000000001E-2</v>
      </c>
      <c r="X49" s="99">
        <v>2.1000000000000001E-2</v>
      </c>
      <c r="Y49" s="99">
        <v>1.2999999999999999E-2</v>
      </c>
      <c r="Z49" s="99">
        <v>8.0000000000000002E-3</v>
      </c>
      <c r="AA49" s="99">
        <v>1.2E-2</v>
      </c>
      <c r="AB49" s="99" t="s">
        <v>40</v>
      </c>
      <c r="AC49" s="100" t="s">
        <v>172</v>
      </c>
      <c r="AD49" s="100">
        <v>0.11</v>
      </c>
      <c r="AE49" s="24">
        <f t="shared" si="5"/>
        <v>0.10200000000000001</v>
      </c>
      <c r="AF49" s="71" t="s">
        <v>171</v>
      </c>
      <c r="AG49" s="25" t="s">
        <v>395</v>
      </c>
      <c r="AH49" s="101">
        <v>8.4308072170501429</v>
      </c>
      <c r="AI49" s="72" t="s">
        <v>133</v>
      </c>
      <c r="AJ49" s="72" t="s">
        <v>395</v>
      </c>
      <c r="AK49" s="134" t="s">
        <v>65</v>
      </c>
      <c r="AL49" s="72" t="s">
        <v>69</v>
      </c>
      <c r="AM49" s="72" t="s">
        <v>69</v>
      </c>
      <c r="AN49" s="101">
        <v>1.0937364521108552</v>
      </c>
      <c r="AO49" s="134">
        <v>0.19568695955150472</v>
      </c>
      <c r="AP49" s="134" t="s">
        <v>395</v>
      </c>
      <c r="AQ49" s="134">
        <v>0.57593979995901001</v>
      </c>
      <c r="AR49" s="72" t="s">
        <v>65</v>
      </c>
      <c r="AS49" s="134">
        <v>0.53362130229226701</v>
      </c>
      <c r="AT49" s="134">
        <v>0.19847370964895994</v>
      </c>
      <c r="AU49" s="134">
        <v>7.1636862328218337E-2</v>
      </c>
      <c r="AV49" s="134" t="s">
        <v>65</v>
      </c>
      <c r="AW49" s="134" t="s">
        <v>65</v>
      </c>
      <c r="AX49" s="134" t="s">
        <v>395</v>
      </c>
      <c r="AY49" s="134" t="s">
        <v>395</v>
      </c>
      <c r="AZ49" s="134" t="s">
        <v>395</v>
      </c>
      <c r="BA49" s="134" t="s">
        <v>395</v>
      </c>
      <c r="BB49" s="134" t="s">
        <v>395</v>
      </c>
      <c r="BC49" s="24" t="s">
        <v>395</v>
      </c>
      <c r="BD49" s="24" t="s">
        <v>395</v>
      </c>
      <c r="BE49" s="24" t="s">
        <v>395</v>
      </c>
      <c r="BF49" s="24" t="s">
        <v>395</v>
      </c>
      <c r="BG49" s="24" t="s">
        <v>395</v>
      </c>
      <c r="BH49" s="24" t="s">
        <v>395</v>
      </c>
      <c r="BI49" s="24" t="s">
        <v>395</v>
      </c>
      <c r="BJ49" s="24" t="s">
        <v>395</v>
      </c>
      <c r="BK49" s="24" t="s">
        <v>395</v>
      </c>
      <c r="BL49" s="24" t="s">
        <v>395</v>
      </c>
      <c r="BM49" s="24" t="s">
        <v>395</v>
      </c>
      <c r="BN49" s="54">
        <v>130</v>
      </c>
      <c r="BO49" s="136" t="s">
        <v>395</v>
      </c>
      <c r="BP49" s="136" t="s">
        <v>395</v>
      </c>
      <c r="BQ49" s="136" t="s">
        <v>395</v>
      </c>
      <c r="BR49" s="136" t="s">
        <v>395</v>
      </c>
      <c r="BS49" s="136" t="s">
        <v>395</v>
      </c>
      <c r="BT49" s="136" t="s">
        <v>395</v>
      </c>
      <c r="BU49" s="136" t="s">
        <v>395</v>
      </c>
      <c r="BV49" s="136" t="s">
        <v>395</v>
      </c>
      <c r="BW49" s="136" t="s">
        <v>395</v>
      </c>
      <c r="BX49" s="136" t="s">
        <v>395</v>
      </c>
      <c r="BY49" s="136" t="s">
        <v>395</v>
      </c>
      <c r="BZ49" s="136" t="s">
        <v>395</v>
      </c>
      <c r="CA49" s="136" t="s">
        <v>395</v>
      </c>
      <c r="CB49" s="136" t="s">
        <v>395</v>
      </c>
      <c r="CC49" s="136" t="s">
        <v>395</v>
      </c>
      <c r="CD49" s="136" t="s">
        <v>395</v>
      </c>
      <c r="CE49" s="136" t="s">
        <v>395</v>
      </c>
      <c r="CF49" s="136" t="s">
        <v>395</v>
      </c>
      <c r="CG49" s="136" t="s">
        <v>395</v>
      </c>
      <c r="CH49" s="136" t="s">
        <v>395</v>
      </c>
      <c r="CI49" s="136" t="s">
        <v>395</v>
      </c>
      <c r="CJ49" s="136" t="s">
        <v>395</v>
      </c>
      <c r="CK49" s="136" t="s">
        <v>395</v>
      </c>
      <c r="CL49" s="136" t="s">
        <v>395</v>
      </c>
      <c r="CM49" s="136" t="s">
        <v>395</v>
      </c>
      <c r="CN49" s="136" t="s">
        <v>395</v>
      </c>
      <c r="CO49" s="136" t="s">
        <v>395</v>
      </c>
      <c r="CP49" s="136" t="s">
        <v>395</v>
      </c>
      <c r="CQ49" s="136" t="s">
        <v>395</v>
      </c>
      <c r="CR49" s="136" t="s">
        <v>395</v>
      </c>
      <c r="CS49" s="136" t="s">
        <v>395</v>
      </c>
      <c r="CT49" s="136" t="s">
        <v>395</v>
      </c>
      <c r="CU49" s="136" t="s">
        <v>395</v>
      </c>
      <c r="CV49" s="136" t="s">
        <v>395</v>
      </c>
      <c r="CW49" s="136" t="s">
        <v>395</v>
      </c>
      <c r="CX49" s="136" t="s">
        <v>395</v>
      </c>
      <c r="CY49" s="137" t="s">
        <v>395</v>
      </c>
      <c r="CZ49" s="136"/>
      <c r="DA49" s="57"/>
      <c r="DB49" s="57"/>
      <c r="DC49" s="57"/>
      <c r="DD49" s="57"/>
      <c r="DE49" s="57"/>
      <c r="DF49" s="57"/>
      <c r="DG49" s="57"/>
      <c r="DH49" s="59"/>
    </row>
    <row r="50" spans="1:112" x14ac:dyDescent="0.3">
      <c r="A50" s="98" t="s">
        <v>9</v>
      </c>
      <c r="B50" s="98" t="s">
        <v>9</v>
      </c>
      <c r="C50" s="132" t="s">
        <v>20</v>
      </c>
      <c r="D50" s="132"/>
      <c r="E50" s="98"/>
      <c r="F50" s="98"/>
      <c r="G50" s="245">
        <v>44812</v>
      </c>
      <c r="H50" s="1" t="s">
        <v>168</v>
      </c>
      <c r="I50" s="75" t="s">
        <v>33</v>
      </c>
      <c r="J50" s="75" t="s">
        <v>169</v>
      </c>
      <c r="K50" s="155">
        <v>0.40654538062810402</v>
      </c>
      <c r="L50" s="24" t="s">
        <v>394</v>
      </c>
      <c r="M50" s="138">
        <v>2.6827180721628111E-2</v>
      </c>
      <c r="N50" s="139">
        <v>6.9193928383241163E-2</v>
      </c>
      <c r="O50" s="134">
        <v>0.39471482019011173</v>
      </c>
      <c r="P50" s="134">
        <v>0.31205216077475051</v>
      </c>
      <c r="Q50" s="58">
        <v>1.4172840050351898</v>
      </c>
      <c r="R50" s="58">
        <v>1.1314538780510361</v>
      </c>
      <c r="S50" s="134">
        <v>0.38045819689115884</v>
      </c>
      <c r="T50" s="101">
        <v>3.7319841700471161</v>
      </c>
      <c r="U50" s="24">
        <f>SUM(M50,N50,O50,Q50,R50,S50)*(5/K50)</f>
        <v>42.060888799039397</v>
      </c>
      <c r="V50" s="99" t="s">
        <v>78</v>
      </c>
      <c r="W50" s="99">
        <v>1.9E-2</v>
      </c>
      <c r="X50" s="99">
        <v>0.01</v>
      </c>
      <c r="Y50" s="99">
        <v>1.4999999999999999E-2</v>
      </c>
      <c r="Z50" s="99" t="s">
        <v>78</v>
      </c>
      <c r="AA50" s="99" t="s">
        <v>78</v>
      </c>
      <c r="AB50" s="99" t="s">
        <v>78</v>
      </c>
      <c r="AC50" s="100" t="s">
        <v>173</v>
      </c>
      <c r="AD50" s="99">
        <v>4.3999999999999997E-2</v>
      </c>
      <c r="AE50" s="24">
        <f t="shared" si="5"/>
        <v>4.4000000000000004E-2</v>
      </c>
      <c r="AF50" s="71" t="s">
        <v>171</v>
      </c>
      <c r="AG50" s="25" t="s">
        <v>395</v>
      </c>
      <c r="AH50" s="101">
        <v>2.1819997068952879</v>
      </c>
      <c r="AI50" s="72" t="s">
        <v>133</v>
      </c>
      <c r="AJ50" s="72" t="s">
        <v>395</v>
      </c>
      <c r="AK50" s="134" t="s">
        <v>65</v>
      </c>
      <c r="AL50" s="72" t="s">
        <v>69</v>
      </c>
      <c r="AM50" s="72" t="s">
        <v>69</v>
      </c>
      <c r="AN50" s="134">
        <v>0.40241445006228466</v>
      </c>
      <c r="AO50" s="134">
        <v>8.479885689162453E-2</v>
      </c>
      <c r="AP50" s="134" t="s">
        <v>395</v>
      </c>
      <c r="AQ50" s="134">
        <v>0.18029603575877476</v>
      </c>
      <c r="AR50" s="72" t="s">
        <v>65</v>
      </c>
      <c r="AS50" s="134">
        <v>0.44965926577269716</v>
      </c>
      <c r="AT50" s="134">
        <v>0.39008573312815997</v>
      </c>
      <c r="AU50" s="134">
        <v>0.32325785887008124</v>
      </c>
      <c r="AV50" s="134" t="s">
        <v>65</v>
      </c>
      <c r="AW50" s="134" t="s">
        <v>65</v>
      </c>
      <c r="AX50" s="134" t="s">
        <v>395</v>
      </c>
      <c r="AY50" s="134" t="s">
        <v>395</v>
      </c>
      <c r="AZ50" s="134" t="s">
        <v>395</v>
      </c>
      <c r="BA50" s="134" t="s">
        <v>395</v>
      </c>
      <c r="BB50" s="134" t="s">
        <v>395</v>
      </c>
      <c r="BC50" s="24" t="s">
        <v>395</v>
      </c>
      <c r="BD50" s="24" t="s">
        <v>395</v>
      </c>
      <c r="BE50" s="24" t="s">
        <v>395</v>
      </c>
      <c r="BF50" s="24" t="s">
        <v>395</v>
      </c>
      <c r="BG50" s="24" t="s">
        <v>395</v>
      </c>
      <c r="BH50" s="24" t="s">
        <v>395</v>
      </c>
      <c r="BI50" s="24" t="s">
        <v>395</v>
      </c>
      <c r="BJ50" s="24" t="s">
        <v>395</v>
      </c>
      <c r="BK50" s="24" t="s">
        <v>395</v>
      </c>
      <c r="BL50" s="24" t="s">
        <v>395</v>
      </c>
      <c r="BM50" s="24" t="s">
        <v>395</v>
      </c>
      <c r="BN50" s="54">
        <v>23</v>
      </c>
      <c r="BO50" s="136" t="s">
        <v>395</v>
      </c>
      <c r="BP50" s="136" t="s">
        <v>395</v>
      </c>
      <c r="BQ50" s="136" t="s">
        <v>395</v>
      </c>
      <c r="BR50" s="136" t="s">
        <v>395</v>
      </c>
      <c r="BS50" s="136" t="s">
        <v>395</v>
      </c>
      <c r="BT50" s="136" t="s">
        <v>395</v>
      </c>
      <c r="BU50" s="136" t="s">
        <v>395</v>
      </c>
      <c r="BV50" s="136" t="s">
        <v>395</v>
      </c>
      <c r="BW50" s="136" t="s">
        <v>395</v>
      </c>
      <c r="BX50" s="136" t="s">
        <v>395</v>
      </c>
      <c r="BY50" s="136" t="s">
        <v>395</v>
      </c>
      <c r="BZ50" s="136" t="s">
        <v>395</v>
      </c>
      <c r="CA50" s="136" t="s">
        <v>395</v>
      </c>
      <c r="CB50" s="136" t="s">
        <v>395</v>
      </c>
      <c r="CC50" s="136" t="s">
        <v>395</v>
      </c>
      <c r="CD50" s="136" t="s">
        <v>395</v>
      </c>
      <c r="CE50" s="136" t="s">
        <v>395</v>
      </c>
      <c r="CF50" s="136" t="s">
        <v>395</v>
      </c>
      <c r="CG50" s="136" t="s">
        <v>395</v>
      </c>
      <c r="CH50" s="136" t="s">
        <v>395</v>
      </c>
      <c r="CI50" s="136" t="s">
        <v>395</v>
      </c>
      <c r="CJ50" s="136" t="s">
        <v>395</v>
      </c>
      <c r="CK50" s="136" t="s">
        <v>395</v>
      </c>
      <c r="CL50" s="136" t="s">
        <v>395</v>
      </c>
      <c r="CM50" s="136" t="s">
        <v>395</v>
      </c>
      <c r="CN50" s="136" t="s">
        <v>395</v>
      </c>
      <c r="CO50" s="136" t="s">
        <v>395</v>
      </c>
      <c r="CP50" s="136" t="s">
        <v>395</v>
      </c>
      <c r="CQ50" s="136" t="s">
        <v>395</v>
      </c>
      <c r="CR50" s="136" t="s">
        <v>395</v>
      </c>
      <c r="CS50" s="136" t="s">
        <v>395</v>
      </c>
      <c r="CT50" s="136" t="s">
        <v>395</v>
      </c>
      <c r="CU50" s="136" t="s">
        <v>395</v>
      </c>
      <c r="CV50" s="136" t="s">
        <v>395</v>
      </c>
      <c r="CW50" s="136" t="s">
        <v>395</v>
      </c>
      <c r="CX50" s="136" t="s">
        <v>395</v>
      </c>
      <c r="CY50" s="137" t="s">
        <v>395</v>
      </c>
      <c r="CZ50" s="136"/>
      <c r="DA50" s="57"/>
      <c r="DB50" s="57"/>
      <c r="DC50" s="57"/>
      <c r="DD50" s="57"/>
      <c r="DE50" s="57"/>
      <c r="DF50" s="57"/>
      <c r="DG50" s="57"/>
      <c r="DH50" s="59"/>
    </row>
    <row r="51" spans="1:112" s="102" customFormat="1" x14ac:dyDescent="0.3">
      <c r="A51" s="98" t="s">
        <v>25</v>
      </c>
      <c r="B51" s="98" t="s">
        <v>25</v>
      </c>
      <c r="C51" s="132" t="s">
        <v>20</v>
      </c>
      <c r="D51" s="132"/>
      <c r="E51" s="98"/>
      <c r="F51" s="98"/>
      <c r="G51" s="245">
        <v>44811</v>
      </c>
      <c r="H51" s="1" t="s">
        <v>168</v>
      </c>
      <c r="I51" s="75" t="s">
        <v>33</v>
      </c>
      <c r="J51" s="75" t="s">
        <v>169</v>
      </c>
      <c r="K51" s="155">
        <v>0.57215511760968496</v>
      </c>
      <c r="L51" s="24" t="s">
        <v>394</v>
      </c>
      <c r="M51" s="269">
        <v>2.7596989198411866E-2</v>
      </c>
      <c r="N51" s="142">
        <v>6.9174761114969813E-2</v>
      </c>
      <c r="O51" s="143">
        <v>0.74767337956490199</v>
      </c>
      <c r="P51" s="143">
        <v>0.63587284239686914</v>
      </c>
      <c r="Q51" s="144">
        <v>2.8126225440766683</v>
      </c>
      <c r="R51" s="144">
        <v>2.2866365554578336</v>
      </c>
      <c r="S51" s="143">
        <v>0.85191608246023576</v>
      </c>
      <c r="T51" s="109">
        <v>7.4314931542698917</v>
      </c>
      <c r="U51" s="24">
        <f t="shared" si="6"/>
        <v>59.386170836532528</v>
      </c>
      <c r="V51" s="103" t="s">
        <v>40</v>
      </c>
      <c r="W51" s="103">
        <v>0.05</v>
      </c>
      <c r="X51" s="103">
        <v>3.4000000000000002E-2</v>
      </c>
      <c r="Y51" s="103">
        <v>5.0999999999999997E-2</v>
      </c>
      <c r="Z51" s="103">
        <v>2.1000000000000001E-2</v>
      </c>
      <c r="AA51" s="103">
        <v>1.7000000000000001E-2</v>
      </c>
      <c r="AB51" s="103">
        <v>8.0000000000000002E-3</v>
      </c>
      <c r="AC51" s="104" t="s">
        <v>174</v>
      </c>
      <c r="AD51" s="104">
        <v>0.18099999999999999</v>
      </c>
      <c r="AE51" s="24">
        <f t="shared" si="5"/>
        <v>0.16000000000000003</v>
      </c>
      <c r="AF51" s="105" t="s">
        <v>171</v>
      </c>
      <c r="AG51" s="25" t="s">
        <v>395</v>
      </c>
      <c r="AH51" s="106">
        <v>24.14931188561215</v>
      </c>
      <c r="AI51" s="145" t="s">
        <v>133</v>
      </c>
      <c r="AJ51" s="72" t="s">
        <v>395</v>
      </c>
      <c r="AK51" s="143" t="s">
        <v>65</v>
      </c>
      <c r="AL51" s="145" t="s">
        <v>69</v>
      </c>
      <c r="AM51" s="145" t="s">
        <v>69</v>
      </c>
      <c r="AN51" s="144">
        <v>1.1301519213583555</v>
      </c>
      <c r="AO51" s="143">
        <v>0.31522788203753355</v>
      </c>
      <c r="AP51" s="134" t="s">
        <v>395</v>
      </c>
      <c r="AQ51" s="143">
        <v>0.30647006255585341</v>
      </c>
      <c r="AR51" s="145" t="s">
        <v>65</v>
      </c>
      <c r="AS51" s="143">
        <v>0.18766756032171578</v>
      </c>
      <c r="AT51" s="143" t="s">
        <v>69</v>
      </c>
      <c r="AU51" s="143" t="s">
        <v>133</v>
      </c>
      <c r="AV51" s="143" t="s">
        <v>65</v>
      </c>
      <c r="AW51" s="143" t="s">
        <v>65</v>
      </c>
      <c r="AX51" s="143" t="s">
        <v>395</v>
      </c>
      <c r="AY51" s="143" t="s">
        <v>395</v>
      </c>
      <c r="AZ51" s="143" t="s">
        <v>395</v>
      </c>
      <c r="BA51" s="143" t="s">
        <v>395</v>
      </c>
      <c r="BB51" s="143" t="s">
        <v>395</v>
      </c>
      <c r="BC51" s="24" t="s">
        <v>395</v>
      </c>
      <c r="BD51" s="24" t="s">
        <v>395</v>
      </c>
      <c r="BE51" s="24" t="s">
        <v>395</v>
      </c>
      <c r="BF51" s="24" t="s">
        <v>395</v>
      </c>
      <c r="BG51" s="24" t="s">
        <v>395</v>
      </c>
      <c r="BH51" s="24" t="s">
        <v>395</v>
      </c>
      <c r="BI51" s="24" t="s">
        <v>395</v>
      </c>
      <c r="BJ51" s="24" t="s">
        <v>395</v>
      </c>
      <c r="BK51" s="24" t="s">
        <v>395</v>
      </c>
      <c r="BL51" s="24" t="s">
        <v>395</v>
      </c>
      <c r="BM51" s="24" t="s">
        <v>395</v>
      </c>
      <c r="BN51" s="146">
        <v>120</v>
      </c>
      <c r="BO51" s="136" t="s">
        <v>395</v>
      </c>
      <c r="BP51" s="136" t="s">
        <v>395</v>
      </c>
      <c r="BQ51" s="136" t="s">
        <v>395</v>
      </c>
      <c r="BR51" s="136" t="s">
        <v>395</v>
      </c>
      <c r="BS51" s="136" t="s">
        <v>395</v>
      </c>
      <c r="BT51" s="136" t="s">
        <v>395</v>
      </c>
      <c r="BU51" s="136" t="s">
        <v>395</v>
      </c>
      <c r="BV51" s="136" t="s">
        <v>395</v>
      </c>
      <c r="BW51" s="136" t="s">
        <v>395</v>
      </c>
      <c r="BX51" s="136" t="s">
        <v>395</v>
      </c>
      <c r="BY51" s="136" t="s">
        <v>395</v>
      </c>
      <c r="BZ51" s="136" t="s">
        <v>395</v>
      </c>
      <c r="CA51" s="136" t="s">
        <v>395</v>
      </c>
      <c r="CB51" s="136" t="s">
        <v>395</v>
      </c>
      <c r="CC51" s="136" t="s">
        <v>395</v>
      </c>
      <c r="CD51" s="136" t="s">
        <v>395</v>
      </c>
      <c r="CE51" s="136" t="s">
        <v>395</v>
      </c>
      <c r="CF51" s="136" t="s">
        <v>395</v>
      </c>
      <c r="CG51" s="136" t="s">
        <v>395</v>
      </c>
      <c r="CH51" s="136" t="s">
        <v>395</v>
      </c>
      <c r="CI51" s="136" t="s">
        <v>395</v>
      </c>
      <c r="CJ51" s="136" t="s">
        <v>395</v>
      </c>
      <c r="CK51" s="136" t="s">
        <v>395</v>
      </c>
      <c r="CL51" s="136" t="s">
        <v>395</v>
      </c>
      <c r="CM51" s="136" t="s">
        <v>395</v>
      </c>
      <c r="CN51" s="136" t="s">
        <v>395</v>
      </c>
      <c r="CO51" s="136" t="s">
        <v>395</v>
      </c>
      <c r="CP51" s="136" t="s">
        <v>395</v>
      </c>
      <c r="CQ51" s="136" t="s">
        <v>395</v>
      </c>
      <c r="CR51" s="136" t="s">
        <v>395</v>
      </c>
      <c r="CS51" s="136" t="s">
        <v>395</v>
      </c>
      <c r="CT51" s="136" t="s">
        <v>395</v>
      </c>
      <c r="CU51" s="136" t="s">
        <v>395</v>
      </c>
      <c r="CV51" s="136" t="s">
        <v>395</v>
      </c>
      <c r="CW51" s="136" t="s">
        <v>395</v>
      </c>
      <c r="CX51" s="136" t="s">
        <v>395</v>
      </c>
      <c r="CY51" s="137" t="s">
        <v>395</v>
      </c>
      <c r="CZ51" s="147"/>
      <c r="DA51" s="107"/>
      <c r="DB51" s="107"/>
      <c r="DC51" s="107"/>
      <c r="DD51" s="107"/>
      <c r="DE51" s="107"/>
      <c r="DF51" s="107"/>
      <c r="DG51" s="107"/>
      <c r="DH51" s="108"/>
    </row>
    <row r="52" spans="1:112" s="102" customFormat="1" x14ac:dyDescent="0.3">
      <c r="A52" s="98" t="s">
        <v>112</v>
      </c>
      <c r="B52" s="98" t="s">
        <v>112</v>
      </c>
      <c r="C52" s="132" t="s">
        <v>20</v>
      </c>
      <c r="D52" s="132"/>
      <c r="E52" s="98"/>
      <c r="F52" s="98"/>
      <c r="G52" s="245">
        <v>44819</v>
      </c>
      <c r="H52" s="1" t="s">
        <v>168</v>
      </c>
      <c r="I52" s="75" t="s">
        <v>33</v>
      </c>
      <c r="J52" s="75" t="s">
        <v>169</v>
      </c>
      <c r="K52" s="155">
        <v>0.44749713809969099</v>
      </c>
      <c r="L52" s="24" t="s">
        <v>394</v>
      </c>
      <c r="M52" s="148">
        <v>0.39598657031612838</v>
      </c>
      <c r="N52" s="144">
        <v>1.0826485308246201</v>
      </c>
      <c r="O52" s="144">
        <v>3.995277102800018</v>
      </c>
      <c r="P52" s="144">
        <v>3.3398417543332295</v>
      </c>
      <c r="Q52" s="144">
        <v>8.5667322221331244</v>
      </c>
      <c r="R52" s="144">
        <v>7.4163542092015584</v>
      </c>
      <c r="S52" s="144">
        <v>2.0849760930481294</v>
      </c>
      <c r="T52" s="106">
        <v>26.881816482656813</v>
      </c>
      <c r="U52" s="24">
        <f t="shared" si="6"/>
        <v>263.04050600519179</v>
      </c>
      <c r="V52" s="103" t="s">
        <v>78</v>
      </c>
      <c r="W52" s="103">
        <v>6.4000000000000001E-2</v>
      </c>
      <c r="X52" s="103">
        <v>2.3E-2</v>
      </c>
      <c r="Y52" s="103">
        <v>3.3000000000000002E-2</v>
      </c>
      <c r="Z52" s="103">
        <v>1.0999999999999999E-2</v>
      </c>
      <c r="AA52" s="103">
        <v>0.01</v>
      </c>
      <c r="AB52" s="103">
        <v>1.0999999999999999E-2</v>
      </c>
      <c r="AC52" s="149" t="s">
        <v>175</v>
      </c>
      <c r="AD52" s="104">
        <v>0.15200000000000002</v>
      </c>
      <c r="AE52" s="24">
        <f t="shared" si="5"/>
        <v>0.14100000000000001</v>
      </c>
      <c r="AF52" s="105" t="s">
        <v>171</v>
      </c>
      <c r="AG52" s="25" t="s">
        <v>395</v>
      </c>
      <c r="AH52" s="109">
        <v>2.8140134559574124</v>
      </c>
      <c r="AI52" s="145" t="s">
        <v>133</v>
      </c>
      <c r="AJ52" s="72" t="s">
        <v>395</v>
      </c>
      <c r="AK52" s="143" t="s">
        <v>65</v>
      </c>
      <c r="AL52" s="145" t="s">
        <v>69</v>
      </c>
      <c r="AM52" s="145" t="s">
        <v>69</v>
      </c>
      <c r="AN52" s="143">
        <v>0.29433820750837403</v>
      </c>
      <c r="AO52" s="145" t="s">
        <v>65</v>
      </c>
      <c r="AP52" s="134" t="s">
        <v>395</v>
      </c>
      <c r="AQ52" s="143">
        <v>0.1409307363636127</v>
      </c>
      <c r="AR52" s="145" t="s">
        <v>65</v>
      </c>
      <c r="AS52" s="143">
        <v>0.34776271070352038</v>
      </c>
      <c r="AT52" s="143">
        <v>0.1369019970728777</v>
      </c>
      <c r="AU52" s="143">
        <v>0.17317353916693529</v>
      </c>
      <c r="AV52" s="143" t="s">
        <v>65</v>
      </c>
      <c r="AW52" s="143" t="s">
        <v>65</v>
      </c>
      <c r="AX52" s="143" t="s">
        <v>395</v>
      </c>
      <c r="AY52" s="143" t="s">
        <v>395</v>
      </c>
      <c r="AZ52" s="143" t="s">
        <v>395</v>
      </c>
      <c r="BA52" s="143" t="s">
        <v>395</v>
      </c>
      <c r="BB52" s="143" t="s">
        <v>395</v>
      </c>
      <c r="BC52" s="24" t="s">
        <v>395</v>
      </c>
      <c r="BD52" s="24" t="s">
        <v>395</v>
      </c>
      <c r="BE52" s="24" t="s">
        <v>395</v>
      </c>
      <c r="BF52" s="24" t="s">
        <v>395</v>
      </c>
      <c r="BG52" s="24" t="s">
        <v>395</v>
      </c>
      <c r="BH52" s="24" t="s">
        <v>395</v>
      </c>
      <c r="BI52" s="24" t="s">
        <v>395</v>
      </c>
      <c r="BJ52" s="24" t="s">
        <v>395</v>
      </c>
      <c r="BK52" s="24" t="s">
        <v>395</v>
      </c>
      <c r="BL52" s="24" t="s">
        <v>395</v>
      </c>
      <c r="BM52" s="24" t="s">
        <v>395</v>
      </c>
      <c r="BN52" s="146">
        <v>310</v>
      </c>
      <c r="BO52" s="136" t="s">
        <v>395</v>
      </c>
      <c r="BP52" s="136" t="s">
        <v>395</v>
      </c>
      <c r="BQ52" s="136" t="s">
        <v>395</v>
      </c>
      <c r="BR52" s="136" t="s">
        <v>395</v>
      </c>
      <c r="BS52" s="136" t="s">
        <v>395</v>
      </c>
      <c r="BT52" s="136" t="s">
        <v>395</v>
      </c>
      <c r="BU52" s="136" t="s">
        <v>395</v>
      </c>
      <c r="BV52" s="136" t="s">
        <v>395</v>
      </c>
      <c r="BW52" s="136" t="s">
        <v>395</v>
      </c>
      <c r="BX52" s="136" t="s">
        <v>395</v>
      </c>
      <c r="BY52" s="136" t="s">
        <v>395</v>
      </c>
      <c r="BZ52" s="136" t="s">
        <v>395</v>
      </c>
      <c r="CA52" s="136" t="s">
        <v>395</v>
      </c>
      <c r="CB52" s="136" t="s">
        <v>395</v>
      </c>
      <c r="CC52" s="136" t="s">
        <v>395</v>
      </c>
      <c r="CD52" s="136" t="s">
        <v>395</v>
      </c>
      <c r="CE52" s="136" t="s">
        <v>395</v>
      </c>
      <c r="CF52" s="136" t="s">
        <v>395</v>
      </c>
      <c r="CG52" s="136" t="s">
        <v>395</v>
      </c>
      <c r="CH52" s="136" t="s">
        <v>395</v>
      </c>
      <c r="CI52" s="136" t="s">
        <v>395</v>
      </c>
      <c r="CJ52" s="136" t="s">
        <v>395</v>
      </c>
      <c r="CK52" s="136" t="s">
        <v>395</v>
      </c>
      <c r="CL52" s="136" t="s">
        <v>395</v>
      </c>
      <c r="CM52" s="136" t="s">
        <v>395</v>
      </c>
      <c r="CN52" s="136" t="s">
        <v>395</v>
      </c>
      <c r="CO52" s="136" t="s">
        <v>395</v>
      </c>
      <c r="CP52" s="136" t="s">
        <v>395</v>
      </c>
      <c r="CQ52" s="136" t="s">
        <v>395</v>
      </c>
      <c r="CR52" s="136" t="s">
        <v>395</v>
      </c>
      <c r="CS52" s="136" t="s">
        <v>395</v>
      </c>
      <c r="CT52" s="136" t="s">
        <v>395</v>
      </c>
      <c r="CU52" s="136" t="s">
        <v>395</v>
      </c>
      <c r="CV52" s="136" t="s">
        <v>395</v>
      </c>
      <c r="CW52" s="136" t="s">
        <v>395</v>
      </c>
      <c r="CX52" s="136" t="s">
        <v>395</v>
      </c>
      <c r="CY52" s="137" t="s">
        <v>395</v>
      </c>
      <c r="CZ52" s="147"/>
      <c r="DA52" s="107"/>
      <c r="DB52" s="107"/>
      <c r="DC52" s="107"/>
      <c r="DD52" s="107"/>
      <c r="DE52" s="107"/>
      <c r="DF52" s="107"/>
      <c r="DG52" s="107"/>
      <c r="DH52" s="108"/>
    </row>
    <row r="53" spans="1:112" s="102" customFormat="1" x14ac:dyDescent="0.3">
      <c r="A53" s="98" t="s">
        <v>79</v>
      </c>
      <c r="B53" s="98" t="s">
        <v>79</v>
      </c>
      <c r="C53" s="132" t="s">
        <v>20</v>
      </c>
      <c r="D53" s="132"/>
      <c r="E53" s="98"/>
      <c r="F53" s="98"/>
      <c r="G53" s="245">
        <v>44810</v>
      </c>
      <c r="H53" s="1" t="s">
        <v>168</v>
      </c>
      <c r="I53" s="75" t="s">
        <v>33</v>
      </c>
      <c r="J53" s="75" t="s">
        <v>169</v>
      </c>
      <c r="K53" s="155">
        <v>0.52262987352357804</v>
      </c>
      <c r="L53" s="24" t="s">
        <v>394</v>
      </c>
      <c r="M53" s="148">
        <v>0.32969437127984724</v>
      </c>
      <c r="N53" s="144">
        <v>1.1318919791888371</v>
      </c>
      <c r="O53" s="144">
        <v>5.6891441349315377</v>
      </c>
      <c r="P53" s="144">
        <v>4.4303076296846147</v>
      </c>
      <c r="Q53" s="114">
        <v>11.616288639100762</v>
      </c>
      <c r="R53" s="144">
        <v>9.6927112176472221</v>
      </c>
      <c r="S53" s="144">
        <v>2.8122443348825685</v>
      </c>
      <c r="T53" s="106">
        <v>35.702282306715396</v>
      </c>
      <c r="U53" s="24">
        <f t="shared" si="6"/>
        <v>299.17898173514914</v>
      </c>
      <c r="V53" s="103" t="s">
        <v>78</v>
      </c>
      <c r="W53" s="103">
        <v>7.1999999999999995E-2</v>
      </c>
      <c r="X53" s="103">
        <v>2.3E-2</v>
      </c>
      <c r="Y53" s="103">
        <v>3.3000000000000002E-2</v>
      </c>
      <c r="Z53" s="103">
        <v>1.0999999999999999E-2</v>
      </c>
      <c r="AA53" s="103">
        <v>1.0999999999999999E-2</v>
      </c>
      <c r="AB53" s="103" t="s">
        <v>78</v>
      </c>
      <c r="AC53" s="104" t="s">
        <v>176</v>
      </c>
      <c r="AD53" s="104">
        <v>0.15000000000000002</v>
      </c>
      <c r="AE53" s="24">
        <f t="shared" si="5"/>
        <v>0.13900000000000001</v>
      </c>
      <c r="AF53" s="105" t="s">
        <v>171</v>
      </c>
      <c r="AG53" s="25" t="s">
        <v>395</v>
      </c>
      <c r="AH53" s="144">
        <v>3.7351535138175231</v>
      </c>
      <c r="AI53" s="145" t="s">
        <v>133</v>
      </c>
      <c r="AJ53" s="72" t="s">
        <v>395</v>
      </c>
      <c r="AK53" s="143" t="s">
        <v>65</v>
      </c>
      <c r="AL53" s="145" t="s">
        <v>69</v>
      </c>
      <c r="AM53" s="145" t="s">
        <v>69</v>
      </c>
      <c r="AN53" s="143">
        <v>0.3874018968734822</v>
      </c>
      <c r="AO53" s="143">
        <v>4.5785719763785579E-2</v>
      </c>
      <c r="AP53" s="134" t="s">
        <v>395</v>
      </c>
      <c r="AQ53" s="143">
        <v>0.25850653168699034</v>
      </c>
      <c r="AR53" s="145" t="s">
        <v>65</v>
      </c>
      <c r="AS53" s="143">
        <v>0.41828361070634262</v>
      </c>
      <c r="AT53" s="143" t="s">
        <v>69</v>
      </c>
      <c r="AU53" s="143" t="s">
        <v>133</v>
      </c>
      <c r="AV53" s="143" t="s">
        <v>65</v>
      </c>
      <c r="AW53" s="143" t="s">
        <v>65</v>
      </c>
      <c r="AX53" s="143" t="s">
        <v>395</v>
      </c>
      <c r="AY53" s="143" t="s">
        <v>395</v>
      </c>
      <c r="AZ53" s="143" t="s">
        <v>395</v>
      </c>
      <c r="BA53" s="143" t="s">
        <v>395</v>
      </c>
      <c r="BB53" s="143" t="s">
        <v>395</v>
      </c>
      <c r="BC53" s="24" t="s">
        <v>395</v>
      </c>
      <c r="BD53" s="24" t="s">
        <v>395</v>
      </c>
      <c r="BE53" s="24" t="s">
        <v>395</v>
      </c>
      <c r="BF53" s="24" t="s">
        <v>395</v>
      </c>
      <c r="BG53" s="24" t="s">
        <v>395</v>
      </c>
      <c r="BH53" s="24" t="s">
        <v>395</v>
      </c>
      <c r="BI53" s="24" t="s">
        <v>395</v>
      </c>
      <c r="BJ53" s="24" t="s">
        <v>395</v>
      </c>
      <c r="BK53" s="24" t="s">
        <v>395</v>
      </c>
      <c r="BL53" s="24" t="s">
        <v>395</v>
      </c>
      <c r="BM53" s="24" t="s">
        <v>395</v>
      </c>
      <c r="BN53" s="146">
        <v>190</v>
      </c>
      <c r="BO53" s="136" t="s">
        <v>395</v>
      </c>
      <c r="BP53" s="136" t="s">
        <v>395</v>
      </c>
      <c r="BQ53" s="136" t="s">
        <v>395</v>
      </c>
      <c r="BR53" s="136" t="s">
        <v>395</v>
      </c>
      <c r="BS53" s="136" t="s">
        <v>395</v>
      </c>
      <c r="BT53" s="136" t="s">
        <v>395</v>
      </c>
      <c r="BU53" s="136" t="s">
        <v>395</v>
      </c>
      <c r="BV53" s="136" t="s">
        <v>395</v>
      </c>
      <c r="BW53" s="136" t="s">
        <v>395</v>
      </c>
      <c r="BX53" s="136" t="s">
        <v>395</v>
      </c>
      <c r="BY53" s="136" t="s">
        <v>395</v>
      </c>
      <c r="BZ53" s="136" t="s">
        <v>395</v>
      </c>
      <c r="CA53" s="136" t="s">
        <v>395</v>
      </c>
      <c r="CB53" s="136" t="s">
        <v>395</v>
      </c>
      <c r="CC53" s="136" t="s">
        <v>395</v>
      </c>
      <c r="CD53" s="136" t="s">
        <v>395</v>
      </c>
      <c r="CE53" s="136" t="s">
        <v>395</v>
      </c>
      <c r="CF53" s="136" t="s">
        <v>395</v>
      </c>
      <c r="CG53" s="136" t="s">
        <v>395</v>
      </c>
      <c r="CH53" s="136" t="s">
        <v>395</v>
      </c>
      <c r="CI53" s="136" t="s">
        <v>395</v>
      </c>
      <c r="CJ53" s="136" t="s">
        <v>395</v>
      </c>
      <c r="CK53" s="136" t="s">
        <v>395</v>
      </c>
      <c r="CL53" s="136" t="s">
        <v>395</v>
      </c>
      <c r="CM53" s="136" t="s">
        <v>395</v>
      </c>
      <c r="CN53" s="136" t="s">
        <v>395</v>
      </c>
      <c r="CO53" s="136" t="s">
        <v>395</v>
      </c>
      <c r="CP53" s="136" t="s">
        <v>395</v>
      </c>
      <c r="CQ53" s="136" t="s">
        <v>395</v>
      </c>
      <c r="CR53" s="136" t="s">
        <v>395</v>
      </c>
      <c r="CS53" s="136" t="s">
        <v>395</v>
      </c>
      <c r="CT53" s="136" t="s">
        <v>395</v>
      </c>
      <c r="CU53" s="136" t="s">
        <v>395</v>
      </c>
      <c r="CV53" s="136" t="s">
        <v>395</v>
      </c>
      <c r="CW53" s="136" t="s">
        <v>395</v>
      </c>
      <c r="CX53" s="136" t="s">
        <v>395</v>
      </c>
      <c r="CY53" s="137" t="s">
        <v>395</v>
      </c>
      <c r="CZ53" s="147"/>
      <c r="DA53" s="107"/>
      <c r="DB53" s="107"/>
      <c r="DC53" s="107"/>
      <c r="DD53" s="107"/>
      <c r="DE53" s="107"/>
      <c r="DF53" s="107"/>
      <c r="DG53" s="107"/>
      <c r="DH53" s="108"/>
    </row>
    <row r="54" spans="1:112" s="102" customFormat="1" x14ac:dyDescent="0.3">
      <c r="A54" s="98" t="s">
        <v>26</v>
      </c>
      <c r="B54" s="98" t="s">
        <v>26</v>
      </c>
      <c r="C54" s="132" t="s">
        <v>20</v>
      </c>
      <c r="D54" s="132"/>
      <c r="E54" s="98"/>
      <c r="F54" s="98"/>
      <c r="G54" s="245">
        <v>44818</v>
      </c>
      <c r="H54" s="1" t="s">
        <v>168</v>
      </c>
      <c r="I54" s="75" t="s">
        <v>33</v>
      </c>
      <c r="J54" s="75" t="s">
        <v>169</v>
      </c>
      <c r="K54" s="155">
        <v>0.49611734253666301</v>
      </c>
      <c r="L54" s="24" t="s">
        <v>394</v>
      </c>
      <c r="M54" s="269">
        <v>3.7003166970959248E-2</v>
      </c>
      <c r="N54" s="142">
        <v>5.645110227862677E-2</v>
      </c>
      <c r="O54" s="143">
        <v>0.4417060616805335</v>
      </c>
      <c r="P54" s="143">
        <v>0.60410740422310849</v>
      </c>
      <c r="Q54" s="144">
        <v>1.9214603777606647</v>
      </c>
      <c r="R54" s="144">
        <v>1.6175437468728497</v>
      </c>
      <c r="S54" s="143">
        <v>0.60041297510775449</v>
      </c>
      <c r="T54" s="109">
        <v>5.2786848348944968</v>
      </c>
      <c r="U54" s="24">
        <f t="shared" si="6"/>
        <v>47.111610801288798</v>
      </c>
      <c r="V54" s="103" t="s">
        <v>76</v>
      </c>
      <c r="W54" s="103">
        <v>1.2999999999999999E-2</v>
      </c>
      <c r="X54" s="103">
        <v>1.2E-2</v>
      </c>
      <c r="Y54" s="103">
        <v>1.2E-2</v>
      </c>
      <c r="Z54" s="103" t="s">
        <v>76</v>
      </c>
      <c r="AA54" s="103" t="s">
        <v>76</v>
      </c>
      <c r="AB54" s="103" t="s">
        <v>76</v>
      </c>
      <c r="AC54" s="104" t="s">
        <v>177</v>
      </c>
      <c r="AD54" s="103">
        <v>1.3000000000000005E-2</v>
      </c>
      <c r="AE54" s="24">
        <f t="shared" si="5"/>
        <v>3.7000000000000005E-2</v>
      </c>
      <c r="AF54" s="105" t="s">
        <v>171</v>
      </c>
      <c r="AG54" s="25" t="s">
        <v>395</v>
      </c>
      <c r="AH54" s="144">
        <v>1.9703846772895544</v>
      </c>
      <c r="AI54" s="145" t="s">
        <v>133</v>
      </c>
      <c r="AJ54" s="72" t="s">
        <v>395</v>
      </c>
      <c r="AK54" s="143" t="s">
        <v>65</v>
      </c>
      <c r="AL54" s="145" t="s">
        <v>69</v>
      </c>
      <c r="AM54" s="145" t="s">
        <v>69</v>
      </c>
      <c r="AN54" s="143">
        <v>0.28746177370030579</v>
      </c>
      <c r="AO54" s="145" t="s">
        <v>65</v>
      </c>
      <c r="AP54" s="134" t="s">
        <v>395</v>
      </c>
      <c r="AQ54" s="143">
        <v>9.2202984525534035E-2</v>
      </c>
      <c r="AR54" s="145" t="s">
        <v>65</v>
      </c>
      <c r="AS54" s="143" t="s">
        <v>69</v>
      </c>
      <c r="AT54" s="143" t="s">
        <v>69</v>
      </c>
      <c r="AU54" s="143" t="s">
        <v>133</v>
      </c>
      <c r="AV54" s="143" t="s">
        <v>65</v>
      </c>
      <c r="AW54" s="143" t="s">
        <v>65</v>
      </c>
      <c r="AX54" s="143" t="s">
        <v>395</v>
      </c>
      <c r="AY54" s="143" t="s">
        <v>395</v>
      </c>
      <c r="AZ54" s="143" t="s">
        <v>395</v>
      </c>
      <c r="BA54" s="143" t="s">
        <v>395</v>
      </c>
      <c r="BB54" s="143" t="s">
        <v>395</v>
      </c>
      <c r="BC54" s="24" t="s">
        <v>395</v>
      </c>
      <c r="BD54" s="24" t="s">
        <v>395</v>
      </c>
      <c r="BE54" s="24" t="s">
        <v>395</v>
      </c>
      <c r="BF54" s="24" t="s">
        <v>395</v>
      </c>
      <c r="BG54" s="24" t="s">
        <v>395</v>
      </c>
      <c r="BH54" s="24" t="s">
        <v>395</v>
      </c>
      <c r="BI54" s="24" t="s">
        <v>395</v>
      </c>
      <c r="BJ54" s="24" t="s">
        <v>395</v>
      </c>
      <c r="BK54" s="24" t="s">
        <v>395</v>
      </c>
      <c r="BL54" s="24" t="s">
        <v>395</v>
      </c>
      <c r="BM54" s="24" t="s">
        <v>395</v>
      </c>
      <c r="BN54" s="146">
        <v>72</v>
      </c>
      <c r="BO54" s="136" t="s">
        <v>395</v>
      </c>
      <c r="BP54" s="136" t="s">
        <v>395</v>
      </c>
      <c r="BQ54" s="136" t="s">
        <v>395</v>
      </c>
      <c r="BR54" s="136" t="s">
        <v>395</v>
      </c>
      <c r="BS54" s="136" t="s">
        <v>395</v>
      </c>
      <c r="BT54" s="136" t="s">
        <v>395</v>
      </c>
      <c r="BU54" s="136" t="s">
        <v>395</v>
      </c>
      <c r="BV54" s="136" t="s">
        <v>395</v>
      </c>
      <c r="BW54" s="136" t="s">
        <v>395</v>
      </c>
      <c r="BX54" s="136" t="s">
        <v>395</v>
      </c>
      <c r="BY54" s="136" t="s">
        <v>395</v>
      </c>
      <c r="BZ54" s="136" t="s">
        <v>395</v>
      </c>
      <c r="CA54" s="136" t="s">
        <v>395</v>
      </c>
      <c r="CB54" s="136" t="s">
        <v>395</v>
      </c>
      <c r="CC54" s="136" t="s">
        <v>395</v>
      </c>
      <c r="CD54" s="136" t="s">
        <v>395</v>
      </c>
      <c r="CE54" s="136" t="s">
        <v>395</v>
      </c>
      <c r="CF54" s="136" t="s">
        <v>395</v>
      </c>
      <c r="CG54" s="136" t="s">
        <v>395</v>
      </c>
      <c r="CH54" s="136" t="s">
        <v>395</v>
      </c>
      <c r="CI54" s="136" t="s">
        <v>395</v>
      </c>
      <c r="CJ54" s="136" t="s">
        <v>395</v>
      </c>
      <c r="CK54" s="136" t="s">
        <v>395</v>
      </c>
      <c r="CL54" s="136" t="s">
        <v>395</v>
      </c>
      <c r="CM54" s="136" t="s">
        <v>395</v>
      </c>
      <c r="CN54" s="136" t="s">
        <v>395</v>
      </c>
      <c r="CO54" s="136" t="s">
        <v>395</v>
      </c>
      <c r="CP54" s="136" t="s">
        <v>395</v>
      </c>
      <c r="CQ54" s="136" t="s">
        <v>395</v>
      </c>
      <c r="CR54" s="136" t="s">
        <v>395</v>
      </c>
      <c r="CS54" s="136" t="s">
        <v>395</v>
      </c>
      <c r="CT54" s="136" t="s">
        <v>395</v>
      </c>
      <c r="CU54" s="136" t="s">
        <v>395</v>
      </c>
      <c r="CV54" s="136" t="s">
        <v>395</v>
      </c>
      <c r="CW54" s="136" t="s">
        <v>395</v>
      </c>
      <c r="CX54" s="136" t="s">
        <v>395</v>
      </c>
      <c r="CY54" s="137" t="s">
        <v>395</v>
      </c>
      <c r="CZ54" s="147"/>
      <c r="DA54" s="107"/>
      <c r="DB54" s="107"/>
      <c r="DC54" s="107"/>
      <c r="DD54" s="107"/>
      <c r="DE54" s="107"/>
      <c r="DF54" s="107"/>
      <c r="DG54" s="107"/>
      <c r="DH54" s="108"/>
    </row>
    <row r="55" spans="1:112" s="102" customFormat="1" x14ac:dyDescent="0.3">
      <c r="A55" s="98" t="s">
        <v>166</v>
      </c>
      <c r="B55" s="98" t="s">
        <v>166</v>
      </c>
      <c r="C55" s="132" t="s">
        <v>20</v>
      </c>
      <c r="D55" s="132"/>
      <c r="E55" s="98"/>
      <c r="F55" s="98"/>
      <c r="G55" s="245">
        <v>44816</v>
      </c>
      <c r="H55" s="1" t="s">
        <v>168</v>
      </c>
      <c r="I55" s="75" t="s">
        <v>33</v>
      </c>
      <c r="J55" s="75" t="s">
        <v>169</v>
      </c>
      <c r="K55" s="155">
        <v>0.38802660753881701</v>
      </c>
      <c r="L55" s="24" t="s">
        <v>394</v>
      </c>
      <c r="M55" s="269">
        <v>2.8269462586266881E-2</v>
      </c>
      <c r="N55" s="143">
        <v>0.30415151397952372</v>
      </c>
      <c r="O55" s="144">
        <v>2.2409840840601105</v>
      </c>
      <c r="P55" s="144">
        <v>3.2485254661708236</v>
      </c>
      <c r="Q55" s="144">
        <v>7.8120851459998004</v>
      </c>
      <c r="R55" s="144">
        <v>6.3493967362662618</v>
      </c>
      <c r="S55" s="144">
        <v>2.0655349451512612</v>
      </c>
      <c r="T55" s="106">
        <v>22.048947354214047</v>
      </c>
      <c r="U55" s="24">
        <f t="shared" si="6"/>
        <v>242.2568649002051</v>
      </c>
      <c r="V55" s="103" t="s">
        <v>40</v>
      </c>
      <c r="W55" s="103">
        <v>2.7E-2</v>
      </c>
      <c r="X55" s="103">
        <v>2.3E-2</v>
      </c>
      <c r="Y55" s="103">
        <v>1.7999999999999999E-2</v>
      </c>
      <c r="Z55" s="103" t="s">
        <v>40</v>
      </c>
      <c r="AA55" s="103">
        <v>1.0999999999999999E-2</v>
      </c>
      <c r="AB55" s="103" t="s">
        <v>40</v>
      </c>
      <c r="AC55" s="104" t="s">
        <v>178</v>
      </c>
      <c r="AD55" s="104">
        <v>7.9000000000000001E-2</v>
      </c>
      <c r="AE55" s="24">
        <f t="shared" si="5"/>
        <v>7.9000000000000001E-2</v>
      </c>
      <c r="AF55" s="105" t="s">
        <v>171</v>
      </c>
      <c r="AG55" s="25" t="s">
        <v>395</v>
      </c>
      <c r="AH55" s="111">
        <v>3.5453624010032803</v>
      </c>
      <c r="AI55" s="145" t="s">
        <v>133</v>
      </c>
      <c r="AJ55" s="72" t="s">
        <v>395</v>
      </c>
      <c r="AK55" s="143" t="s">
        <v>65</v>
      </c>
      <c r="AL55" s="145" t="s">
        <v>69</v>
      </c>
      <c r="AM55" s="145" t="s">
        <v>69</v>
      </c>
      <c r="AN55" s="143">
        <v>0.34599460564517504</v>
      </c>
      <c r="AO55" s="143">
        <v>7.7977632324898197E-2</v>
      </c>
      <c r="AP55" s="134" t="s">
        <v>395</v>
      </c>
      <c r="AQ55" s="143">
        <v>0.32720026112800416</v>
      </c>
      <c r="AR55" s="145" t="s">
        <v>65</v>
      </c>
      <c r="AS55" s="143">
        <v>0.31685821780137086</v>
      </c>
      <c r="AT55" s="143">
        <v>9.4469927330825113E-2</v>
      </c>
      <c r="AU55" s="143">
        <v>0.14415296603617994</v>
      </c>
      <c r="AV55" s="143" t="s">
        <v>65</v>
      </c>
      <c r="AW55" s="143" t="s">
        <v>65</v>
      </c>
      <c r="AX55" s="143" t="s">
        <v>395</v>
      </c>
      <c r="AY55" s="143" t="s">
        <v>395</v>
      </c>
      <c r="AZ55" s="143" t="s">
        <v>395</v>
      </c>
      <c r="BA55" s="143" t="s">
        <v>395</v>
      </c>
      <c r="BB55" s="143" t="s">
        <v>395</v>
      </c>
      <c r="BC55" s="24" t="s">
        <v>395</v>
      </c>
      <c r="BD55" s="24" t="s">
        <v>395</v>
      </c>
      <c r="BE55" s="24" t="s">
        <v>395</v>
      </c>
      <c r="BF55" s="24" t="s">
        <v>395</v>
      </c>
      <c r="BG55" s="24" t="s">
        <v>395</v>
      </c>
      <c r="BH55" s="24" t="s">
        <v>395</v>
      </c>
      <c r="BI55" s="24" t="s">
        <v>395</v>
      </c>
      <c r="BJ55" s="24" t="s">
        <v>395</v>
      </c>
      <c r="BK55" s="24" t="s">
        <v>395</v>
      </c>
      <c r="BL55" s="24" t="s">
        <v>395</v>
      </c>
      <c r="BM55" s="24" t="s">
        <v>395</v>
      </c>
      <c r="BN55" s="146">
        <v>160</v>
      </c>
      <c r="BO55" s="136" t="s">
        <v>395</v>
      </c>
      <c r="BP55" s="136" t="s">
        <v>395</v>
      </c>
      <c r="BQ55" s="136" t="s">
        <v>395</v>
      </c>
      <c r="BR55" s="136" t="s">
        <v>395</v>
      </c>
      <c r="BS55" s="136" t="s">
        <v>395</v>
      </c>
      <c r="BT55" s="136" t="s">
        <v>395</v>
      </c>
      <c r="BU55" s="136" t="s">
        <v>395</v>
      </c>
      <c r="BV55" s="136" t="s">
        <v>395</v>
      </c>
      <c r="BW55" s="136" t="s">
        <v>395</v>
      </c>
      <c r="BX55" s="136" t="s">
        <v>395</v>
      </c>
      <c r="BY55" s="136" t="s">
        <v>395</v>
      </c>
      <c r="BZ55" s="136" t="s">
        <v>395</v>
      </c>
      <c r="CA55" s="136" t="s">
        <v>395</v>
      </c>
      <c r="CB55" s="136" t="s">
        <v>395</v>
      </c>
      <c r="CC55" s="136" t="s">
        <v>395</v>
      </c>
      <c r="CD55" s="136" t="s">
        <v>395</v>
      </c>
      <c r="CE55" s="136" t="s">
        <v>395</v>
      </c>
      <c r="CF55" s="136" t="s">
        <v>395</v>
      </c>
      <c r="CG55" s="136" t="s">
        <v>395</v>
      </c>
      <c r="CH55" s="136" t="s">
        <v>395</v>
      </c>
      <c r="CI55" s="136" t="s">
        <v>395</v>
      </c>
      <c r="CJ55" s="136" t="s">
        <v>395</v>
      </c>
      <c r="CK55" s="136" t="s">
        <v>395</v>
      </c>
      <c r="CL55" s="136" t="s">
        <v>395</v>
      </c>
      <c r="CM55" s="136" t="s">
        <v>395</v>
      </c>
      <c r="CN55" s="136" t="s">
        <v>395</v>
      </c>
      <c r="CO55" s="136" t="s">
        <v>395</v>
      </c>
      <c r="CP55" s="136" t="s">
        <v>395</v>
      </c>
      <c r="CQ55" s="136" t="s">
        <v>395</v>
      </c>
      <c r="CR55" s="136" t="s">
        <v>395</v>
      </c>
      <c r="CS55" s="136" t="s">
        <v>395</v>
      </c>
      <c r="CT55" s="136" t="s">
        <v>395</v>
      </c>
      <c r="CU55" s="136" t="s">
        <v>395</v>
      </c>
      <c r="CV55" s="136" t="s">
        <v>395</v>
      </c>
      <c r="CW55" s="136" t="s">
        <v>395</v>
      </c>
      <c r="CX55" s="136" t="s">
        <v>395</v>
      </c>
      <c r="CY55" s="137" t="s">
        <v>395</v>
      </c>
      <c r="CZ55" s="147"/>
      <c r="DA55" s="107"/>
      <c r="DB55" s="107"/>
      <c r="DC55" s="107"/>
      <c r="DD55" s="107"/>
      <c r="DE55" s="107"/>
      <c r="DF55" s="107"/>
      <c r="DG55" s="107"/>
      <c r="DH55" s="108"/>
    </row>
    <row r="56" spans="1:112" s="102" customFormat="1" x14ac:dyDescent="0.3">
      <c r="A56" s="98" t="s">
        <v>6</v>
      </c>
      <c r="B56" s="98" t="s">
        <v>6</v>
      </c>
      <c r="C56" s="132" t="s">
        <v>20</v>
      </c>
      <c r="D56" s="132"/>
      <c r="E56" s="98"/>
      <c r="F56" s="98"/>
      <c r="G56" s="245">
        <v>44806</v>
      </c>
      <c r="H56" s="1" t="s">
        <v>168</v>
      </c>
      <c r="I56" s="75" t="s">
        <v>33</v>
      </c>
      <c r="J56" s="75" t="s">
        <v>169</v>
      </c>
      <c r="K56" s="155">
        <v>0.41593012373920302</v>
      </c>
      <c r="L56" s="24" t="s">
        <v>394</v>
      </c>
      <c r="M56" s="112">
        <v>3.2471498371335505E-2</v>
      </c>
      <c r="N56" s="110">
        <v>0.18539291530944624</v>
      </c>
      <c r="O56" s="111">
        <v>1.0699206026058632</v>
      </c>
      <c r="P56" s="111">
        <v>1.5063925081433225</v>
      </c>
      <c r="Q56" s="111">
        <v>2.9939332247557005</v>
      </c>
      <c r="R56" s="111">
        <v>2.2794075732899026</v>
      </c>
      <c r="S56" s="110">
        <v>0.68722516286644952</v>
      </c>
      <c r="T56" s="111">
        <f t="shared" ref="T56:T66" si="7">SUM(M56:S56)</f>
        <v>8.7547434853420203</v>
      </c>
      <c r="U56" s="24">
        <f t="shared" si="6"/>
        <v>87.13423918465169</v>
      </c>
      <c r="V56" s="150" t="s">
        <v>179</v>
      </c>
      <c r="W56" s="150">
        <v>3.6079087102965257E-2</v>
      </c>
      <c r="X56" s="150">
        <v>2.446002149037238E-2</v>
      </c>
      <c r="Y56" s="150">
        <v>2.7910935815081295E-2</v>
      </c>
      <c r="Z56" s="150" t="s">
        <v>179</v>
      </c>
      <c r="AA56" s="150" t="s">
        <v>179</v>
      </c>
      <c r="AB56" s="150" t="s">
        <v>179</v>
      </c>
      <c r="AC56" s="149" t="s">
        <v>180</v>
      </c>
      <c r="AD56" s="113">
        <v>8.8450044408418929E-2</v>
      </c>
      <c r="AE56" s="24">
        <f t="shared" si="5"/>
        <v>8.8450044408418929E-2</v>
      </c>
      <c r="AF56" s="105" t="s">
        <v>171</v>
      </c>
      <c r="AG56" s="25" t="s">
        <v>395</v>
      </c>
      <c r="AH56" s="111">
        <v>5.1397646375127133</v>
      </c>
      <c r="AI56" s="145" t="s">
        <v>65</v>
      </c>
      <c r="AJ56" s="72" t="s">
        <v>395</v>
      </c>
      <c r="AK56" s="143" t="s">
        <v>65</v>
      </c>
      <c r="AL56" s="145" t="s">
        <v>65</v>
      </c>
      <c r="AM56" s="143">
        <v>0.11199089544287862</v>
      </c>
      <c r="AN56" s="110">
        <v>0.82059663906242442</v>
      </c>
      <c r="AO56" s="110">
        <v>0.19352026732529426</v>
      </c>
      <c r="AP56" s="134" t="s">
        <v>395</v>
      </c>
      <c r="AQ56" s="110">
        <v>0.19531212165238027</v>
      </c>
      <c r="AR56" s="145" t="s">
        <v>65</v>
      </c>
      <c r="AS56" s="143">
        <v>0.11039275509709914</v>
      </c>
      <c r="AT56" s="143">
        <v>3.0848951523076193E-2</v>
      </c>
      <c r="AU56" s="143" t="s">
        <v>65</v>
      </c>
      <c r="AV56" s="143" t="s">
        <v>65</v>
      </c>
      <c r="AW56" s="143" t="s">
        <v>65</v>
      </c>
      <c r="AX56" s="143" t="s">
        <v>395</v>
      </c>
      <c r="AY56" s="143" t="s">
        <v>395</v>
      </c>
      <c r="AZ56" s="143" t="s">
        <v>395</v>
      </c>
      <c r="BA56" s="143" t="s">
        <v>395</v>
      </c>
      <c r="BB56" s="143" t="s">
        <v>395</v>
      </c>
      <c r="BC56" s="24" t="s">
        <v>395</v>
      </c>
      <c r="BD56" s="24" t="s">
        <v>395</v>
      </c>
      <c r="BE56" s="24" t="s">
        <v>395</v>
      </c>
      <c r="BF56" s="24" t="s">
        <v>395</v>
      </c>
      <c r="BG56" s="24" t="s">
        <v>395</v>
      </c>
      <c r="BH56" s="24" t="s">
        <v>395</v>
      </c>
      <c r="BI56" s="24" t="s">
        <v>395</v>
      </c>
      <c r="BJ56" s="24" t="s">
        <v>395</v>
      </c>
      <c r="BK56" s="24" t="s">
        <v>395</v>
      </c>
      <c r="BL56" s="24" t="s">
        <v>395</v>
      </c>
      <c r="BM56" s="24" t="s">
        <v>395</v>
      </c>
      <c r="BN56" s="146">
        <v>49</v>
      </c>
      <c r="BO56" s="136" t="s">
        <v>395</v>
      </c>
      <c r="BP56" s="136" t="s">
        <v>395</v>
      </c>
      <c r="BQ56" s="136" t="s">
        <v>395</v>
      </c>
      <c r="BR56" s="136" t="s">
        <v>395</v>
      </c>
      <c r="BS56" s="136" t="s">
        <v>395</v>
      </c>
      <c r="BT56" s="136" t="s">
        <v>395</v>
      </c>
      <c r="BU56" s="136" t="s">
        <v>395</v>
      </c>
      <c r="BV56" s="136" t="s">
        <v>395</v>
      </c>
      <c r="BW56" s="136" t="s">
        <v>395</v>
      </c>
      <c r="BX56" s="136" t="s">
        <v>395</v>
      </c>
      <c r="BY56" s="136" t="s">
        <v>395</v>
      </c>
      <c r="BZ56" s="136" t="s">
        <v>395</v>
      </c>
      <c r="CA56" s="136" t="s">
        <v>395</v>
      </c>
      <c r="CB56" s="136" t="s">
        <v>395</v>
      </c>
      <c r="CC56" s="136" t="s">
        <v>395</v>
      </c>
      <c r="CD56" s="136" t="s">
        <v>395</v>
      </c>
      <c r="CE56" s="136" t="s">
        <v>395</v>
      </c>
      <c r="CF56" s="136" t="s">
        <v>395</v>
      </c>
      <c r="CG56" s="136" t="s">
        <v>395</v>
      </c>
      <c r="CH56" s="136" t="s">
        <v>395</v>
      </c>
      <c r="CI56" s="136" t="s">
        <v>395</v>
      </c>
      <c r="CJ56" s="136" t="s">
        <v>395</v>
      </c>
      <c r="CK56" s="136" t="s">
        <v>395</v>
      </c>
      <c r="CL56" s="136" t="s">
        <v>395</v>
      </c>
      <c r="CM56" s="136" t="s">
        <v>395</v>
      </c>
      <c r="CN56" s="136" t="s">
        <v>395</v>
      </c>
      <c r="CO56" s="136" t="s">
        <v>395</v>
      </c>
      <c r="CP56" s="136" t="s">
        <v>395</v>
      </c>
      <c r="CQ56" s="136" t="s">
        <v>395</v>
      </c>
      <c r="CR56" s="136" t="s">
        <v>395</v>
      </c>
      <c r="CS56" s="136" t="s">
        <v>395</v>
      </c>
      <c r="CT56" s="136" t="s">
        <v>395</v>
      </c>
      <c r="CU56" s="136" t="s">
        <v>395</v>
      </c>
      <c r="CV56" s="136" t="s">
        <v>395</v>
      </c>
      <c r="CW56" s="136" t="s">
        <v>395</v>
      </c>
      <c r="CX56" s="136" t="s">
        <v>395</v>
      </c>
      <c r="CY56" s="137" t="s">
        <v>395</v>
      </c>
      <c r="CZ56" s="147"/>
      <c r="DA56" s="107"/>
      <c r="DB56" s="107"/>
      <c r="DC56" s="107"/>
      <c r="DD56" s="107"/>
      <c r="DE56" s="107"/>
      <c r="DF56" s="107"/>
      <c r="DG56" s="107"/>
      <c r="DH56" s="108"/>
    </row>
    <row r="57" spans="1:112" s="102" customFormat="1" x14ac:dyDescent="0.3">
      <c r="A57" s="98" t="s">
        <v>27</v>
      </c>
      <c r="B57" s="98" t="s">
        <v>27</v>
      </c>
      <c r="C57" s="132" t="s">
        <v>20</v>
      </c>
      <c r="D57" s="132"/>
      <c r="E57" s="98"/>
      <c r="F57" s="98"/>
      <c r="G57" s="245">
        <v>44834</v>
      </c>
      <c r="H57" s="1" t="s">
        <v>168</v>
      </c>
      <c r="I57" s="75" t="s">
        <v>33</v>
      </c>
      <c r="J57" s="75" t="s">
        <v>169</v>
      </c>
      <c r="K57" s="155">
        <v>0.51582886618794299</v>
      </c>
      <c r="L57" s="24" t="s">
        <v>394</v>
      </c>
      <c r="M57" s="112">
        <v>5.178982479425856E-2</v>
      </c>
      <c r="N57" s="110">
        <v>0.13174296698896459</v>
      </c>
      <c r="O57" s="110">
        <v>0.28788119387437938</v>
      </c>
      <c r="P57" s="110">
        <v>0.33433289594901477</v>
      </c>
      <c r="Q57" s="110">
        <v>0.87752754933174293</v>
      </c>
      <c r="R57" s="110">
        <v>0.6998270551042638</v>
      </c>
      <c r="S57" s="110">
        <v>0.19209611534401311</v>
      </c>
      <c r="T57" s="111">
        <f t="shared" si="7"/>
        <v>2.5751976013866371</v>
      </c>
      <c r="U57" s="24">
        <f t="shared" si="6"/>
        <v>21.72100915947151</v>
      </c>
      <c r="V57" s="150" t="s">
        <v>181</v>
      </c>
      <c r="W57" s="150">
        <v>1.5841208755653913E-2</v>
      </c>
      <c r="X57" s="150">
        <v>1.6775334087682645E-2</v>
      </c>
      <c r="Y57" s="150">
        <v>1.8881495558903508E-2</v>
      </c>
      <c r="Z57" s="150" t="s">
        <v>181</v>
      </c>
      <c r="AA57" s="150" t="s">
        <v>181</v>
      </c>
      <c r="AB57" s="150" t="s">
        <v>181</v>
      </c>
      <c r="AC57" s="149" t="s">
        <v>182</v>
      </c>
      <c r="AD57" s="113">
        <v>5.2467198215785889E-2</v>
      </c>
      <c r="AE57" s="24">
        <f t="shared" si="5"/>
        <v>5.1498038402240071E-2</v>
      </c>
      <c r="AF57" s="105" t="s">
        <v>171</v>
      </c>
      <c r="AG57" s="25" t="s">
        <v>395</v>
      </c>
      <c r="AH57" s="111">
        <v>4.3197291133181572</v>
      </c>
      <c r="AI57" s="145" t="s">
        <v>65</v>
      </c>
      <c r="AJ57" s="72" t="s">
        <v>395</v>
      </c>
      <c r="AK57" s="145" t="s">
        <v>65</v>
      </c>
      <c r="AL57" s="145" t="s">
        <v>65</v>
      </c>
      <c r="AM57" s="145" t="s">
        <v>65</v>
      </c>
      <c r="AN57" s="110">
        <v>0.20911354210841138</v>
      </c>
      <c r="AO57" s="145" t="s">
        <v>65</v>
      </c>
      <c r="AP57" s="134" t="s">
        <v>395</v>
      </c>
      <c r="AQ57" s="110">
        <v>0.14859861926664755</v>
      </c>
      <c r="AR57" s="145" t="s">
        <v>65</v>
      </c>
      <c r="AS57" s="145" t="s">
        <v>65</v>
      </c>
      <c r="AT57" s="145" t="s">
        <v>65</v>
      </c>
      <c r="AU57" s="145" t="s">
        <v>65</v>
      </c>
      <c r="AV57" s="145" t="s">
        <v>65</v>
      </c>
      <c r="AW57" s="145" t="s">
        <v>65</v>
      </c>
      <c r="AX57" s="145" t="s">
        <v>395</v>
      </c>
      <c r="AY57" s="145" t="s">
        <v>395</v>
      </c>
      <c r="AZ57" s="145" t="s">
        <v>395</v>
      </c>
      <c r="BA57" s="145" t="s">
        <v>395</v>
      </c>
      <c r="BB57" s="145" t="s">
        <v>395</v>
      </c>
      <c r="BC57" s="24" t="s">
        <v>395</v>
      </c>
      <c r="BD57" s="24" t="s">
        <v>395</v>
      </c>
      <c r="BE57" s="24" t="s">
        <v>395</v>
      </c>
      <c r="BF57" s="24" t="s">
        <v>395</v>
      </c>
      <c r="BG57" s="24" t="s">
        <v>395</v>
      </c>
      <c r="BH57" s="24" t="s">
        <v>395</v>
      </c>
      <c r="BI57" s="24" t="s">
        <v>395</v>
      </c>
      <c r="BJ57" s="24" t="s">
        <v>395</v>
      </c>
      <c r="BK57" s="24" t="s">
        <v>395</v>
      </c>
      <c r="BL57" s="24" t="s">
        <v>395</v>
      </c>
      <c r="BM57" s="24" t="s">
        <v>395</v>
      </c>
      <c r="BN57" s="146">
        <v>87</v>
      </c>
      <c r="BO57" s="136" t="s">
        <v>395</v>
      </c>
      <c r="BP57" s="136" t="s">
        <v>395</v>
      </c>
      <c r="BQ57" s="136" t="s">
        <v>395</v>
      </c>
      <c r="BR57" s="136" t="s">
        <v>395</v>
      </c>
      <c r="BS57" s="136" t="s">
        <v>395</v>
      </c>
      <c r="BT57" s="136" t="s">
        <v>395</v>
      </c>
      <c r="BU57" s="136" t="s">
        <v>395</v>
      </c>
      <c r="BV57" s="136" t="s">
        <v>395</v>
      </c>
      <c r="BW57" s="136" t="s">
        <v>395</v>
      </c>
      <c r="BX57" s="136" t="s">
        <v>395</v>
      </c>
      <c r="BY57" s="136" t="s">
        <v>395</v>
      </c>
      <c r="BZ57" s="136" t="s">
        <v>395</v>
      </c>
      <c r="CA57" s="136" t="s">
        <v>395</v>
      </c>
      <c r="CB57" s="136" t="s">
        <v>395</v>
      </c>
      <c r="CC57" s="136" t="s">
        <v>395</v>
      </c>
      <c r="CD57" s="136" t="s">
        <v>395</v>
      </c>
      <c r="CE57" s="136" t="s">
        <v>395</v>
      </c>
      <c r="CF57" s="136" t="s">
        <v>395</v>
      </c>
      <c r="CG57" s="136" t="s">
        <v>395</v>
      </c>
      <c r="CH57" s="136" t="s">
        <v>395</v>
      </c>
      <c r="CI57" s="136" t="s">
        <v>395</v>
      </c>
      <c r="CJ57" s="136" t="s">
        <v>395</v>
      </c>
      <c r="CK57" s="136" t="s">
        <v>395</v>
      </c>
      <c r="CL57" s="136" t="s">
        <v>395</v>
      </c>
      <c r="CM57" s="136" t="s">
        <v>395</v>
      </c>
      <c r="CN57" s="136" t="s">
        <v>395</v>
      </c>
      <c r="CO57" s="136" t="s">
        <v>395</v>
      </c>
      <c r="CP57" s="136" t="s">
        <v>395</v>
      </c>
      <c r="CQ57" s="136" t="s">
        <v>395</v>
      </c>
      <c r="CR57" s="136" t="s">
        <v>395</v>
      </c>
      <c r="CS57" s="136" t="s">
        <v>395</v>
      </c>
      <c r="CT57" s="136" t="s">
        <v>395</v>
      </c>
      <c r="CU57" s="136" t="s">
        <v>395</v>
      </c>
      <c r="CV57" s="136" t="s">
        <v>395</v>
      </c>
      <c r="CW57" s="136" t="s">
        <v>395</v>
      </c>
      <c r="CX57" s="136" t="s">
        <v>395</v>
      </c>
      <c r="CY57" s="137" t="s">
        <v>395</v>
      </c>
      <c r="CZ57" s="147"/>
      <c r="DA57" s="107"/>
      <c r="DB57" s="107"/>
      <c r="DC57" s="107"/>
      <c r="DD57" s="107"/>
      <c r="DE57" s="107"/>
      <c r="DF57" s="107"/>
      <c r="DG57" s="107"/>
      <c r="DH57" s="108"/>
    </row>
    <row r="58" spans="1:112" s="102" customFormat="1" x14ac:dyDescent="0.3">
      <c r="A58" s="98" t="s">
        <v>81</v>
      </c>
      <c r="B58" s="98" t="s">
        <v>81</v>
      </c>
      <c r="C58" s="132" t="s">
        <v>20</v>
      </c>
      <c r="D58" s="132"/>
      <c r="E58" s="98"/>
      <c r="F58" s="98"/>
      <c r="G58" s="245">
        <v>44813</v>
      </c>
      <c r="H58" s="1" t="s">
        <v>168</v>
      </c>
      <c r="I58" s="75" t="s">
        <v>33</v>
      </c>
      <c r="J58" s="75" t="s">
        <v>169</v>
      </c>
      <c r="K58" s="155">
        <v>0.40243524920026702</v>
      </c>
      <c r="L58" s="24" t="s">
        <v>394</v>
      </c>
      <c r="M58" s="112">
        <v>4.3653949489521768E-2</v>
      </c>
      <c r="N58" s="110">
        <v>0.1193927995701236</v>
      </c>
      <c r="O58" s="110">
        <v>0.47203116603976353</v>
      </c>
      <c r="P58" s="110">
        <v>0.45265986029016658</v>
      </c>
      <c r="Q58" s="111">
        <v>1.592745835572273</v>
      </c>
      <c r="R58" s="111">
        <v>1.3136378291241269</v>
      </c>
      <c r="S58" s="110">
        <v>0.53753358409457286</v>
      </c>
      <c r="T58" s="111">
        <f t="shared" si="7"/>
        <v>4.531655024180548</v>
      </c>
      <c r="U58" s="24">
        <f t="shared" si="6"/>
        <v>50.678900170851072</v>
      </c>
      <c r="V58" s="150" t="s">
        <v>183</v>
      </c>
      <c r="W58" s="150">
        <v>6.1872480709374872E-2</v>
      </c>
      <c r="X58" s="150">
        <v>2.955590405494762E-2</v>
      </c>
      <c r="Y58" s="150">
        <v>5.6565942888473095E-2</v>
      </c>
      <c r="Z58" s="150" t="s">
        <v>183</v>
      </c>
      <c r="AA58" s="150">
        <v>2.2276320687443701E-2</v>
      </c>
      <c r="AB58" s="150">
        <v>1.8843948826419214E-2</v>
      </c>
      <c r="AC58" s="149" t="s">
        <v>184</v>
      </c>
      <c r="AD58" s="149">
        <v>0.18911459716665849</v>
      </c>
      <c r="AE58" s="24">
        <f t="shared" si="5"/>
        <v>0.18911459716665849</v>
      </c>
      <c r="AF58" s="113">
        <v>2.5577646426652337E-2</v>
      </c>
      <c r="AG58" s="25">
        <f>AF58*(5/K58)</f>
        <v>0.31778586092397604</v>
      </c>
      <c r="AH58" s="111">
        <v>5.9361627744371406</v>
      </c>
      <c r="AI58" s="145" t="s">
        <v>65</v>
      </c>
      <c r="AJ58" s="72" t="s">
        <v>395</v>
      </c>
      <c r="AK58" s="143" t="s">
        <v>65</v>
      </c>
      <c r="AL58" s="145" t="s">
        <v>65</v>
      </c>
      <c r="AM58" s="145" t="s">
        <v>65</v>
      </c>
      <c r="AN58" s="110">
        <v>0.72467720132382407</v>
      </c>
      <c r="AO58" s="110">
        <v>0.89344147671654306</v>
      </c>
      <c r="AP58" s="134" t="s">
        <v>395</v>
      </c>
      <c r="AQ58" s="110">
        <v>0.68477602200158472</v>
      </c>
      <c r="AR58" s="145" t="s">
        <v>65</v>
      </c>
      <c r="AS58" s="111">
        <v>1.4016687642753924</v>
      </c>
      <c r="AT58" s="110">
        <v>0.18785251479979487</v>
      </c>
      <c r="AU58" s="110">
        <v>0.19304992308768004</v>
      </c>
      <c r="AV58" s="110" t="s">
        <v>65</v>
      </c>
      <c r="AW58" s="110">
        <v>0.10117466088658927</v>
      </c>
      <c r="AX58" s="110" t="s">
        <v>395</v>
      </c>
      <c r="AY58" s="110" t="s">
        <v>395</v>
      </c>
      <c r="AZ58" s="110" t="s">
        <v>395</v>
      </c>
      <c r="BA58" s="110" t="s">
        <v>395</v>
      </c>
      <c r="BB58" s="110" t="s">
        <v>395</v>
      </c>
      <c r="BC58" s="24" t="s">
        <v>395</v>
      </c>
      <c r="BD58" s="24" t="s">
        <v>395</v>
      </c>
      <c r="BE58" s="24" t="s">
        <v>395</v>
      </c>
      <c r="BF58" s="24" t="s">
        <v>395</v>
      </c>
      <c r="BG58" s="24" t="s">
        <v>395</v>
      </c>
      <c r="BH58" s="24" t="s">
        <v>395</v>
      </c>
      <c r="BI58" s="24" t="s">
        <v>395</v>
      </c>
      <c r="BJ58" s="24" t="s">
        <v>395</v>
      </c>
      <c r="BK58" s="24" t="s">
        <v>395</v>
      </c>
      <c r="BL58" s="24" t="s">
        <v>395</v>
      </c>
      <c r="BM58" s="24" t="s">
        <v>395</v>
      </c>
      <c r="BN58" s="146">
        <v>42</v>
      </c>
      <c r="BO58" s="136" t="s">
        <v>395</v>
      </c>
      <c r="BP58" s="136" t="s">
        <v>395</v>
      </c>
      <c r="BQ58" s="136" t="s">
        <v>395</v>
      </c>
      <c r="BR58" s="136" t="s">
        <v>395</v>
      </c>
      <c r="BS58" s="136" t="s">
        <v>395</v>
      </c>
      <c r="BT58" s="136" t="s">
        <v>395</v>
      </c>
      <c r="BU58" s="136" t="s">
        <v>395</v>
      </c>
      <c r="BV58" s="136" t="s">
        <v>395</v>
      </c>
      <c r="BW58" s="136" t="s">
        <v>395</v>
      </c>
      <c r="BX58" s="136" t="s">
        <v>395</v>
      </c>
      <c r="BY58" s="136" t="s">
        <v>395</v>
      </c>
      <c r="BZ58" s="136" t="s">
        <v>395</v>
      </c>
      <c r="CA58" s="136" t="s">
        <v>395</v>
      </c>
      <c r="CB58" s="136" t="s">
        <v>395</v>
      </c>
      <c r="CC58" s="136" t="s">
        <v>395</v>
      </c>
      <c r="CD58" s="136" t="s">
        <v>395</v>
      </c>
      <c r="CE58" s="136" t="s">
        <v>395</v>
      </c>
      <c r="CF58" s="136" t="s">
        <v>395</v>
      </c>
      <c r="CG58" s="136" t="s">
        <v>395</v>
      </c>
      <c r="CH58" s="136" t="s">
        <v>395</v>
      </c>
      <c r="CI58" s="136" t="s">
        <v>395</v>
      </c>
      <c r="CJ58" s="136" t="s">
        <v>395</v>
      </c>
      <c r="CK58" s="136" t="s">
        <v>395</v>
      </c>
      <c r="CL58" s="136" t="s">
        <v>395</v>
      </c>
      <c r="CM58" s="136" t="s">
        <v>395</v>
      </c>
      <c r="CN58" s="136" t="s">
        <v>395</v>
      </c>
      <c r="CO58" s="136" t="s">
        <v>395</v>
      </c>
      <c r="CP58" s="136" t="s">
        <v>395</v>
      </c>
      <c r="CQ58" s="136" t="s">
        <v>395</v>
      </c>
      <c r="CR58" s="136" t="s">
        <v>395</v>
      </c>
      <c r="CS58" s="136" t="s">
        <v>395</v>
      </c>
      <c r="CT58" s="136" t="s">
        <v>395</v>
      </c>
      <c r="CU58" s="136" t="s">
        <v>395</v>
      </c>
      <c r="CV58" s="136" t="s">
        <v>395</v>
      </c>
      <c r="CW58" s="136" t="s">
        <v>395</v>
      </c>
      <c r="CX58" s="136" t="s">
        <v>395</v>
      </c>
      <c r="CY58" s="137" t="s">
        <v>395</v>
      </c>
      <c r="CZ58" s="147"/>
      <c r="DA58" s="107"/>
      <c r="DB58" s="107"/>
      <c r="DC58" s="107"/>
      <c r="DD58" s="107"/>
      <c r="DE58" s="107"/>
      <c r="DF58" s="107"/>
      <c r="DG58" s="107"/>
      <c r="DH58" s="108"/>
    </row>
    <row r="59" spans="1:112" s="102" customFormat="1" x14ac:dyDescent="0.3">
      <c r="A59" s="98" t="s">
        <v>8</v>
      </c>
      <c r="B59" s="98" t="s">
        <v>8</v>
      </c>
      <c r="C59" s="132" t="s">
        <v>20</v>
      </c>
      <c r="D59" s="132"/>
      <c r="E59" s="98"/>
      <c r="F59" s="98"/>
      <c r="G59" s="245">
        <v>44820</v>
      </c>
      <c r="H59" s="1" t="s">
        <v>168</v>
      </c>
      <c r="I59" s="75" t="s">
        <v>33</v>
      </c>
      <c r="J59" s="75" t="s">
        <v>169</v>
      </c>
      <c r="K59" s="155">
        <v>0.39646233607808801</v>
      </c>
      <c r="L59" s="24" t="s">
        <v>394</v>
      </c>
      <c r="M59" s="112">
        <v>2.0055607043558854E-2</v>
      </c>
      <c r="N59" s="112">
        <v>5.1918443002780361E-2</v>
      </c>
      <c r="O59" s="110">
        <v>0.5350602409638554</v>
      </c>
      <c r="P59" s="110">
        <v>0.52607970342910104</v>
      </c>
      <c r="Q59" s="111">
        <v>2.7958850787766454</v>
      </c>
      <c r="R59" s="111">
        <v>1.9546617238183506</v>
      </c>
      <c r="S59" s="110">
        <v>0.94974976830398528</v>
      </c>
      <c r="T59" s="111">
        <f t="shared" si="7"/>
        <v>6.8334105653382773</v>
      </c>
      <c r="U59" s="24">
        <f t="shared" si="6"/>
        <v>79.545145754613017</v>
      </c>
      <c r="V59" s="150" t="s">
        <v>185</v>
      </c>
      <c r="W59" s="150">
        <v>2.6540667613952729E-2</v>
      </c>
      <c r="X59" s="150" t="s">
        <v>186</v>
      </c>
      <c r="Y59" s="150">
        <v>1.3718534759657274E-2</v>
      </c>
      <c r="Z59" s="150" t="s">
        <v>185</v>
      </c>
      <c r="AA59" s="150">
        <v>1.0654376932300475E-2</v>
      </c>
      <c r="AB59" s="150" t="s">
        <v>185</v>
      </c>
      <c r="AC59" s="149" t="s">
        <v>187</v>
      </c>
      <c r="AD59" s="113">
        <v>5.0913579305910478E-2</v>
      </c>
      <c r="AE59" s="24">
        <f t="shared" si="5"/>
        <v>5.0913579305910478E-2</v>
      </c>
      <c r="AF59" s="105" t="s">
        <v>171</v>
      </c>
      <c r="AG59" s="25" t="s">
        <v>395</v>
      </c>
      <c r="AH59" s="114">
        <v>20.813019390581722</v>
      </c>
      <c r="AI59" s="145" t="s">
        <v>65</v>
      </c>
      <c r="AJ59" s="72" t="s">
        <v>395</v>
      </c>
      <c r="AK59" s="143" t="s">
        <v>65</v>
      </c>
      <c r="AL59" s="145" t="s">
        <v>65</v>
      </c>
      <c r="AM59" s="110">
        <v>0.17539845035930793</v>
      </c>
      <c r="AN59" s="111">
        <v>3.0304307679955045</v>
      </c>
      <c r="AO59" s="110">
        <v>0.5935806335059618</v>
      </c>
      <c r="AP59" s="134" t="s">
        <v>395</v>
      </c>
      <c r="AQ59" s="110">
        <v>0.80173832751214436</v>
      </c>
      <c r="AR59" s="145" t="s">
        <v>65</v>
      </c>
      <c r="AS59" s="110">
        <v>0.50744710747119526</v>
      </c>
      <c r="AT59" s="110">
        <v>0.11734714360271392</v>
      </c>
      <c r="AU59" s="110" t="s">
        <v>65</v>
      </c>
      <c r="AV59" s="110" t="s">
        <v>65</v>
      </c>
      <c r="AW59" s="110" t="s">
        <v>65</v>
      </c>
      <c r="AX59" s="110" t="s">
        <v>395</v>
      </c>
      <c r="AY59" s="110" t="s">
        <v>395</v>
      </c>
      <c r="AZ59" s="110" t="s">
        <v>395</v>
      </c>
      <c r="BA59" s="110" t="s">
        <v>395</v>
      </c>
      <c r="BB59" s="110" t="s">
        <v>395</v>
      </c>
      <c r="BC59" s="24" t="s">
        <v>395</v>
      </c>
      <c r="BD59" s="24" t="s">
        <v>395</v>
      </c>
      <c r="BE59" s="24" t="s">
        <v>395</v>
      </c>
      <c r="BF59" s="24" t="s">
        <v>395</v>
      </c>
      <c r="BG59" s="24" t="s">
        <v>395</v>
      </c>
      <c r="BH59" s="24" t="s">
        <v>395</v>
      </c>
      <c r="BI59" s="24" t="s">
        <v>395</v>
      </c>
      <c r="BJ59" s="24" t="s">
        <v>395</v>
      </c>
      <c r="BK59" s="24" t="s">
        <v>395</v>
      </c>
      <c r="BL59" s="24" t="s">
        <v>395</v>
      </c>
      <c r="BM59" s="24" t="s">
        <v>395</v>
      </c>
      <c r="BN59" s="146">
        <v>64</v>
      </c>
      <c r="BO59" s="136" t="s">
        <v>395</v>
      </c>
      <c r="BP59" s="136" t="s">
        <v>395</v>
      </c>
      <c r="BQ59" s="136" t="s">
        <v>395</v>
      </c>
      <c r="BR59" s="136" t="s">
        <v>395</v>
      </c>
      <c r="BS59" s="136" t="s">
        <v>395</v>
      </c>
      <c r="BT59" s="136" t="s">
        <v>395</v>
      </c>
      <c r="BU59" s="136" t="s">
        <v>395</v>
      </c>
      <c r="BV59" s="136" t="s">
        <v>395</v>
      </c>
      <c r="BW59" s="136" t="s">
        <v>395</v>
      </c>
      <c r="BX59" s="136" t="s">
        <v>395</v>
      </c>
      <c r="BY59" s="136" t="s">
        <v>395</v>
      </c>
      <c r="BZ59" s="136" t="s">
        <v>395</v>
      </c>
      <c r="CA59" s="136" t="s">
        <v>395</v>
      </c>
      <c r="CB59" s="136" t="s">
        <v>395</v>
      </c>
      <c r="CC59" s="136" t="s">
        <v>395</v>
      </c>
      <c r="CD59" s="136" t="s">
        <v>395</v>
      </c>
      <c r="CE59" s="136" t="s">
        <v>395</v>
      </c>
      <c r="CF59" s="136" t="s">
        <v>395</v>
      </c>
      <c r="CG59" s="136" t="s">
        <v>395</v>
      </c>
      <c r="CH59" s="136" t="s">
        <v>395</v>
      </c>
      <c r="CI59" s="136" t="s">
        <v>395</v>
      </c>
      <c r="CJ59" s="136" t="s">
        <v>395</v>
      </c>
      <c r="CK59" s="136" t="s">
        <v>395</v>
      </c>
      <c r="CL59" s="136" t="s">
        <v>395</v>
      </c>
      <c r="CM59" s="136" t="s">
        <v>395</v>
      </c>
      <c r="CN59" s="136" t="s">
        <v>395</v>
      </c>
      <c r="CO59" s="136" t="s">
        <v>395</v>
      </c>
      <c r="CP59" s="136" t="s">
        <v>395</v>
      </c>
      <c r="CQ59" s="136" t="s">
        <v>395</v>
      </c>
      <c r="CR59" s="136" t="s">
        <v>395</v>
      </c>
      <c r="CS59" s="136" t="s">
        <v>395</v>
      </c>
      <c r="CT59" s="136" t="s">
        <v>395</v>
      </c>
      <c r="CU59" s="136" t="s">
        <v>395</v>
      </c>
      <c r="CV59" s="136" t="s">
        <v>395</v>
      </c>
      <c r="CW59" s="136" t="s">
        <v>395</v>
      </c>
      <c r="CX59" s="136" t="s">
        <v>395</v>
      </c>
      <c r="CY59" s="137" t="s">
        <v>395</v>
      </c>
      <c r="CZ59" s="147"/>
      <c r="DA59" s="107"/>
      <c r="DB59" s="107"/>
      <c r="DC59" s="107"/>
      <c r="DD59" s="107"/>
      <c r="DE59" s="107"/>
      <c r="DF59" s="107"/>
      <c r="DG59" s="107"/>
      <c r="DH59" s="108"/>
    </row>
    <row r="60" spans="1:112" s="102" customFormat="1" x14ac:dyDescent="0.3">
      <c r="A60" s="98" t="s">
        <v>22</v>
      </c>
      <c r="B60" s="98" t="s">
        <v>22</v>
      </c>
      <c r="C60" s="132" t="s">
        <v>20</v>
      </c>
      <c r="D60" s="132"/>
      <c r="E60" s="98"/>
      <c r="F60" s="98"/>
      <c r="G60" s="245">
        <v>44830</v>
      </c>
      <c r="H60" s="1" t="s">
        <v>168</v>
      </c>
      <c r="I60" s="75" t="s">
        <v>33</v>
      </c>
      <c r="J60" s="75" t="s">
        <v>169</v>
      </c>
      <c r="K60" s="155">
        <v>0.51059206952743696</v>
      </c>
      <c r="L60" s="24" t="s">
        <v>394</v>
      </c>
      <c r="M60" s="111">
        <v>1.1465076660988074</v>
      </c>
      <c r="N60" s="111">
        <v>2.6542589437819419</v>
      </c>
      <c r="O60" s="114">
        <v>10.303180011357183</v>
      </c>
      <c r="P60" s="111">
        <v>8.1858224493658902</v>
      </c>
      <c r="Q60" s="114">
        <v>25.053161082718152</v>
      </c>
      <c r="R60" s="114">
        <v>19.672932046185878</v>
      </c>
      <c r="S60" s="111">
        <v>7.9159473783834935</v>
      </c>
      <c r="T60" s="114">
        <f t="shared" si="7"/>
        <v>74.931809577891343</v>
      </c>
      <c r="U60" s="24">
        <f t="shared" si="6"/>
        <v>653.61362927454184</v>
      </c>
      <c r="V60" s="150" t="s">
        <v>188</v>
      </c>
      <c r="W60" s="151">
        <v>0.2565892370534773</v>
      </c>
      <c r="X60" s="150">
        <v>9.4798373123809301E-2</v>
      </c>
      <c r="Y60" s="151">
        <v>0.22979497483952299</v>
      </c>
      <c r="Z60" s="150" t="s">
        <v>188</v>
      </c>
      <c r="AA60" s="150">
        <v>4.5591257389560026E-2</v>
      </c>
      <c r="AB60" s="150">
        <v>3.5782643543380316E-2</v>
      </c>
      <c r="AC60" s="149" t="s">
        <v>189</v>
      </c>
      <c r="AD60" s="149">
        <v>0.66255648594974992</v>
      </c>
      <c r="AE60" s="24">
        <f t="shared" si="5"/>
        <v>0.66255648594975003</v>
      </c>
      <c r="AF60" s="113">
        <v>6.53038046564452E-3</v>
      </c>
      <c r="AG60" s="25">
        <f t="shared" ref="AG60:AG66" si="8">AF60*(5/K60)</f>
        <v>6.3949098070486252E-2</v>
      </c>
      <c r="AH60" s="111">
        <v>2.3253142059159577</v>
      </c>
      <c r="AI60" s="145" t="s">
        <v>65</v>
      </c>
      <c r="AJ60" s="72" t="s">
        <v>395</v>
      </c>
      <c r="AK60" s="143" t="s">
        <v>65</v>
      </c>
      <c r="AL60" s="145" t="s">
        <v>65</v>
      </c>
      <c r="AM60" s="110">
        <v>0.13518259912826372</v>
      </c>
      <c r="AN60" s="110">
        <v>0.26877829969108374</v>
      </c>
      <c r="AO60" s="145" t="s">
        <v>65</v>
      </c>
      <c r="AP60" s="134" t="s">
        <v>395</v>
      </c>
      <c r="AQ60" s="110">
        <v>0.19008928949261561</v>
      </c>
      <c r="AR60" s="145" t="s">
        <v>65</v>
      </c>
      <c r="AS60" s="110">
        <v>0.15390800220049933</v>
      </c>
      <c r="AT60" s="110" t="s">
        <v>65</v>
      </c>
      <c r="AU60" s="110" t="s">
        <v>65</v>
      </c>
      <c r="AV60" s="110" t="s">
        <v>65</v>
      </c>
      <c r="AW60" s="110" t="s">
        <v>65</v>
      </c>
      <c r="AX60" s="110" t="s">
        <v>395</v>
      </c>
      <c r="AY60" s="110" t="s">
        <v>395</v>
      </c>
      <c r="AZ60" s="110" t="s">
        <v>395</v>
      </c>
      <c r="BA60" s="110" t="s">
        <v>395</v>
      </c>
      <c r="BB60" s="110" t="s">
        <v>395</v>
      </c>
      <c r="BC60" s="24" t="s">
        <v>395</v>
      </c>
      <c r="BD60" s="24" t="s">
        <v>395</v>
      </c>
      <c r="BE60" s="24" t="s">
        <v>395</v>
      </c>
      <c r="BF60" s="24" t="s">
        <v>395</v>
      </c>
      <c r="BG60" s="24" t="s">
        <v>395</v>
      </c>
      <c r="BH60" s="24" t="s">
        <v>395</v>
      </c>
      <c r="BI60" s="24" t="s">
        <v>395</v>
      </c>
      <c r="BJ60" s="24" t="s">
        <v>395</v>
      </c>
      <c r="BK60" s="24" t="s">
        <v>395</v>
      </c>
      <c r="BL60" s="24" t="s">
        <v>395</v>
      </c>
      <c r="BM60" s="24" t="s">
        <v>395</v>
      </c>
      <c r="BN60" s="146">
        <v>38</v>
      </c>
      <c r="BO60" s="136" t="s">
        <v>395</v>
      </c>
      <c r="BP60" s="136" t="s">
        <v>395</v>
      </c>
      <c r="BQ60" s="136" t="s">
        <v>395</v>
      </c>
      <c r="BR60" s="136" t="s">
        <v>395</v>
      </c>
      <c r="BS60" s="136" t="s">
        <v>395</v>
      </c>
      <c r="BT60" s="136" t="s">
        <v>395</v>
      </c>
      <c r="BU60" s="136" t="s">
        <v>395</v>
      </c>
      <c r="BV60" s="136" t="s">
        <v>395</v>
      </c>
      <c r="BW60" s="136" t="s">
        <v>395</v>
      </c>
      <c r="BX60" s="136" t="s">
        <v>395</v>
      </c>
      <c r="BY60" s="136" t="s">
        <v>395</v>
      </c>
      <c r="BZ60" s="136" t="s">
        <v>395</v>
      </c>
      <c r="CA60" s="136" t="s">
        <v>395</v>
      </c>
      <c r="CB60" s="136" t="s">
        <v>395</v>
      </c>
      <c r="CC60" s="136" t="s">
        <v>395</v>
      </c>
      <c r="CD60" s="136" t="s">
        <v>395</v>
      </c>
      <c r="CE60" s="136" t="s">
        <v>395</v>
      </c>
      <c r="CF60" s="136" t="s">
        <v>395</v>
      </c>
      <c r="CG60" s="136" t="s">
        <v>395</v>
      </c>
      <c r="CH60" s="136" t="s">
        <v>395</v>
      </c>
      <c r="CI60" s="136" t="s">
        <v>395</v>
      </c>
      <c r="CJ60" s="136" t="s">
        <v>395</v>
      </c>
      <c r="CK60" s="136" t="s">
        <v>395</v>
      </c>
      <c r="CL60" s="136" t="s">
        <v>395</v>
      </c>
      <c r="CM60" s="136" t="s">
        <v>395</v>
      </c>
      <c r="CN60" s="136" t="s">
        <v>395</v>
      </c>
      <c r="CO60" s="136" t="s">
        <v>395</v>
      </c>
      <c r="CP60" s="136" t="s">
        <v>395</v>
      </c>
      <c r="CQ60" s="136" t="s">
        <v>395</v>
      </c>
      <c r="CR60" s="136" t="s">
        <v>395</v>
      </c>
      <c r="CS60" s="136" t="s">
        <v>395</v>
      </c>
      <c r="CT60" s="136" t="s">
        <v>395</v>
      </c>
      <c r="CU60" s="136" t="s">
        <v>395</v>
      </c>
      <c r="CV60" s="136" t="s">
        <v>395</v>
      </c>
      <c r="CW60" s="136" t="s">
        <v>395</v>
      </c>
      <c r="CX60" s="136" t="s">
        <v>395</v>
      </c>
      <c r="CY60" s="137" t="s">
        <v>395</v>
      </c>
      <c r="CZ60" s="147"/>
      <c r="DA60" s="107"/>
      <c r="DB60" s="107"/>
      <c r="DC60" s="107"/>
      <c r="DD60" s="107"/>
      <c r="DE60" s="107"/>
      <c r="DF60" s="107"/>
      <c r="DG60" s="107"/>
      <c r="DH60" s="108"/>
    </row>
    <row r="61" spans="1:112" s="102" customFormat="1" x14ac:dyDescent="0.3">
      <c r="A61" s="98" t="s">
        <v>28</v>
      </c>
      <c r="B61" s="98" t="s">
        <v>28</v>
      </c>
      <c r="C61" s="132" t="s">
        <v>20</v>
      </c>
      <c r="D61" s="132"/>
      <c r="E61" s="98"/>
      <c r="F61" s="98"/>
      <c r="G61" s="245">
        <v>44833</v>
      </c>
      <c r="H61" s="1" t="s">
        <v>168</v>
      </c>
      <c r="I61" s="75" t="s">
        <v>33</v>
      </c>
      <c r="J61" s="75" t="s">
        <v>169</v>
      </c>
      <c r="K61" s="155">
        <v>0.57667663391711299</v>
      </c>
      <c r="L61" s="24" t="s">
        <v>394</v>
      </c>
      <c r="M61" s="110">
        <v>0.13136391562563995</v>
      </c>
      <c r="N61" s="110">
        <v>0.28834732746262542</v>
      </c>
      <c r="O61" s="111">
        <v>1.7478906409993857</v>
      </c>
      <c r="P61" s="111">
        <v>1.7940815072701208</v>
      </c>
      <c r="Q61" s="111">
        <v>4.7792033585910296</v>
      </c>
      <c r="R61" s="111">
        <v>4.2172127790292855</v>
      </c>
      <c r="S61" s="111">
        <v>1.1960065533483513</v>
      </c>
      <c r="T61" s="114">
        <f t="shared" si="7"/>
        <v>14.154106082326438</v>
      </c>
      <c r="U61" s="24">
        <f t="shared" si="6"/>
        <v>107.16599085262098</v>
      </c>
      <c r="V61" s="150" t="s">
        <v>190</v>
      </c>
      <c r="W61" s="150">
        <v>5.6653830679887232E-2</v>
      </c>
      <c r="X61" s="150">
        <v>2.9493096449556166E-2</v>
      </c>
      <c r="Y61" s="150">
        <v>4.7986471723282971E-2</v>
      </c>
      <c r="Z61" s="150" t="s">
        <v>190</v>
      </c>
      <c r="AA61" s="150">
        <v>2.2431520513929926E-2</v>
      </c>
      <c r="AB61" s="150">
        <v>1.2811869886250347E-2</v>
      </c>
      <c r="AC61" s="149" t="s">
        <v>191</v>
      </c>
      <c r="AD61" s="149">
        <v>0.16937678925290667</v>
      </c>
      <c r="AE61" s="24">
        <f t="shared" si="5"/>
        <v>0.16937678925290667</v>
      </c>
      <c r="AF61" s="105" t="s">
        <v>171</v>
      </c>
      <c r="AG61" s="25" t="s">
        <v>395</v>
      </c>
      <c r="AH61" s="111">
        <v>7.4791044776119424</v>
      </c>
      <c r="AI61" s="145" t="s">
        <v>65</v>
      </c>
      <c r="AJ61" s="72" t="s">
        <v>395</v>
      </c>
      <c r="AK61" s="143" t="s">
        <v>65</v>
      </c>
      <c r="AL61" s="145" t="s">
        <v>65</v>
      </c>
      <c r="AM61" s="143">
        <v>7.7720095176292497E-2</v>
      </c>
      <c r="AN61" s="110">
        <v>0.41916504434350005</v>
      </c>
      <c r="AO61" s="110">
        <v>0.11992212848799484</v>
      </c>
      <c r="AP61" s="134" t="s">
        <v>395</v>
      </c>
      <c r="AQ61" s="110">
        <v>0.31101016655851188</v>
      </c>
      <c r="AR61" s="145" t="s">
        <v>65</v>
      </c>
      <c r="AS61" s="110">
        <v>0.23930348258706477</v>
      </c>
      <c r="AT61" s="110">
        <v>0.11289206143197063</v>
      </c>
      <c r="AU61" s="110" t="s">
        <v>65</v>
      </c>
      <c r="AV61" s="110" t="s">
        <v>65</v>
      </c>
      <c r="AW61" s="110" t="s">
        <v>65</v>
      </c>
      <c r="AX61" s="110" t="s">
        <v>395</v>
      </c>
      <c r="AY61" s="110" t="s">
        <v>395</v>
      </c>
      <c r="AZ61" s="110" t="s">
        <v>395</v>
      </c>
      <c r="BA61" s="110" t="s">
        <v>395</v>
      </c>
      <c r="BB61" s="110" t="s">
        <v>395</v>
      </c>
      <c r="BC61" s="24" t="s">
        <v>395</v>
      </c>
      <c r="BD61" s="24" t="s">
        <v>395</v>
      </c>
      <c r="BE61" s="24" t="s">
        <v>395</v>
      </c>
      <c r="BF61" s="24" t="s">
        <v>395</v>
      </c>
      <c r="BG61" s="24" t="s">
        <v>395</v>
      </c>
      <c r="BH61" s="24" t="s">
        <v>395</v>
      </c>
      <c r="BI61" s="24" t="s">
        <v>395</v>
      </c>
      <c r="BJ61" s="24" t="s">
        <v>395</v>
      </c>
      <c r="BK61" s="24" t="s">
        <v>395</v>
      </c>
      <c r="BL61" s="24" t="s">
        <v>395</v>
      </c>
      <c r="BM61" s="24" t="s">
        <v>395</v>
      </c>
      <c r="BN61" s="146">
        <v>100</v>
      </c>
      <c r="BO61" s="136" t="s">
        <v>395</v>
      </c>
      <c r="BP61" s="136" t="s">
        <v>395</v>
      </c>
      <c r="BQ61" s="136" t="s">
        <v>395</v>
      </c>
      <c r="BR61" s="136" t="s">
        <v>395</v>
      </c>
      <c r="BS61" s="136" t="s">
        <v>395</v>
      </c>
      <c r="BT61" s="136" t="s">
        <v>395</v>
      </c>
      <c r="BU61" s="136" t="s">
        <v>395</v>
      </c>
      <c r="BV61" s="136" t="s">
        <v>395</v>
      </c>
      <c r="BW61" s="136" t="s">
        <v>395</v>
      </c>
      <c r="BX61" s="136" t="s">
        <v>395</v>
      </c>
      <c r="BY61" s="136" t="s">
        <v>395</v>
      </c>
      <c r="BZ61" s="136" t="s">
        <v>395</v>
      </c>
      <c r="CA61" s="136" t="s">
        <v>395</v>
      </c>
      <c r="CB61" s="136" t="s">
        <v>395</v>
      </c>
      <c r="CC61" s="136" t="s">
        <v>395</v>
      </c>
      <c r="CD61" s="136" t="s">
        <v>395</v>
      </c>
      <c r="CE61" s="136" t="s">
        <v>395</v>
      </c>
      <c r="CF61" s="136" t="s">
        <v>395</v>
      </c>
      <c r="CG61" s="136" t="s">
        <v>395</v>
      </c>
      <c r="CH61" s="136" t="s">
        <v>395</v>
      </c>
      <c r="CI61" s="136" t="s">
        <v>395</v>
      </c>
      <c r="CJ61" s="136" t="s">
        <v>395</v>
      </c>
      <c r="CK61" s="136" t="s">
        <v>395</v>
      </c>
      <c r="CL61" s="136" t="s">
        <v>395</v>
      </c>
      <c r="CM61" s="136" t="s">
        <v>395</v>
      </c>
      <c r="CN61" s="136" t="s">
        <v>395</v>
      </c>
      <c r="CO61" s="136" t="s">
        <v>395</v>
      </c>
      <c r="CP61" s="136" t="s">
        <v>395</v>
      </c>
      <c r="CQ61" s="136" t="s">
        <v>395</v>
      </c>
      <c r="CR61" s="136" t="s">
        <v>395</v>
      </c>
      <c r="CS61" s="136" t="s">
        <v>395</v>
      </c>
      <c r="CT61" s="136" t="s">
        <v>395</v>
      </c>
      <c r="CU61" s="136" t="s">
        <v>395</v>
      </c>
      <c r="CV61" s="136" t="s">
        <v>395</v>
      </c>
      <c r="CW61" s="136" t="s">
        <v>395</v>
      </c>
      <c r="CX61" s="136" t="s">
        <v>395</v>
      </c>
      <c r="CY61" s="137" t="s">
        <v>395</v>
      </c>
      <c r="CZ61" s="147"/>
      <c r="DA61" s="107"/>
      <c r="DB61" s="107"/>
      <c r="DC61" s="107"/>
      <c r="DD61" s="107"/>
      <c r="DE61" s="107"/>
      <c r="DF61" s="107"/>
      <c r="DG61" s="107"/>
      <c r="DH61" s="108"/>
    </row>
    <row r="62" spans="1:112" s="102" customFormat="1" x14ac:dyDescent="0.3">
      <c r="A62" s="98" t="s">
        <v>7</v>
      </c>
      <c r="B62" s="98" t="s">
        <v>7</v>
      </c>
      <c r="C62" s="132" t="s">
        <v>20</v>
      </c>
      <c r="D62" s="132"/>
      <c r="E62" s="98"/>
      <c r="F62" s="98"/>
      <c r="G62" s="245">
        <v>44805</v>
      </c>
      <c r="H62" s="1" t="s">
        <v>168</v>
      </c>
      <c r="I62" s="75" t="s">
        <v>33</v>
      </c>
      <c r="J62" s="75" t="s">
        <v>169</v>
      </c>
      <c r="K62" s="155">
        <v>0.42030748810972501</v>
      </c>
      <c r="L62" s="24" t="s">
        <v>394</v>
      </c>
      <c r="M62" s="112">
        <v>3.8028020646792372E-2</v>
      </c>
      <c r="N62" s="110">
        <v>0.30022121563257137</v>
      </c>
      <c r="O62" s="111">
        <v>1.2112293268724321</v>
      </c>
      <c r="P62" s="111">
        <v>1.2576846097124197</v>
      </c>
      <c r="Q62" s="111">
        <v>2.9304856209838825</v>
      </c>
      <c r="R62" s="111">
        <v>2.5492152112082587</v>
      </c>
      <c r="S62" s="110">
        <v>0.79883071737069422</v>
      </c>
      <c r="T62" s="111">
        <f t="shared" si="7"/>
        <v>9.0856947224270517</v>
      </c>
      <c r="U62" s="24">
        <f t="shared" si="6"/>
        <v>93.122420301384906</v>
      </c>
      <c r="V62" s="150" t="s">
        <v>192</v>
      </c>
      <c r="W62" s="150">
        <v>7.8392038954930132E-2</v>
      </c>
      <c r="X62" s="150">
        <v>2.4567160400908603E-2</v>
      </c>
      <c r="Y62" s="150">
        <v>3.472760770576111E-2</v>
      </c>
      <c r="Z62" s="150" t="s">
        <v>192</v>
      </c>
      <c r="AA62" s="150">
        <v>1.6627132404663909E-2</v>
      </c>
      <c r="AB62" s="150" t="s">
        <v>192</v>
      </c>
      <c r="AC62" s="149" t="s">
        <v>193</v>
      </c>
      <c r="AD62" s="149">
        <v>0.15431393946626376</v>
      </c>
      <c r="AE62" s="24">
        <f t="shared" si="5"/>
        <v>0.15431393946626376</v>
      </c>
      <c r="AF62" s="113">
        <v>6.6048667439165695E-2</v>
      </c>
      <c r="AG62" s="25">
        <f t="shared" si="8"/>
        <v>0.7857184241019648</v>
      </c>
      <c r="AH62" s="111">
        <v>3.9465571648666389</v>
      </c>
      <c r="AI62" s="145" t="s">
        <v>65</v>
      </c>
      <c r="AJ62" s="72" t="s">
        <v>395</v>
      </c>
      <c r="AK62" s="143" t="s">
        <v>65</v>
      </c>
      <c r="AL62" s="145" t="s">
        <v>133</v>
      </c>
      <c r="AM62" s="110">
        <v>3.8357561846467721E-2</v>
      </c>
      <c r="AN62" s="111">
        <v>1.3714642958338799</v>
      </c>
      <c r="AO62" s="110">
        <v>0.25777555804216334</v>
      </c>
      <c r="AP62" s="134" t="s">
        <v>395</v>
      </c>
      <c r="AQ62" s="110">
        <v>0.61978268117562862</v>
      </c>
      <c r="AR62" s="145" t="s">
        <v>65</v>
      </c>
      <c r="AS62" s="110">
        <v>0.92787484079251026</v>
      </c>
      <c r="AT62" s="110">
        <v>0.20524574899965198</v>
      </c>
      <c r="AU62" s="110" t="s">
        <v>69</v>
      </c>
      <c r="AV62" s="110" t="s">
        <v>65</v>
      </c>
      <c r="AW62" s="110" t="s">
        <v>65</v>
      </c>
      <c r="AX62" s="110" t="s">
        <v>395</v>
      </c>
      <c r="AY62" s="110" t="s">
        <v>395</v>
      </c>
      <c r="AZ62" s="110" t="s">
        <v>395</v>
      </c>
      <c r="BA62" s="110" t="s">
        <v>395</v>
      </c>
      <c r="BB62" s="110" t="s">
        <v>395</v>
      </c>
      <c r="BC62" s="24" t="s">
        <v>395</v>
      </c>
      <c r="BD62" s="24" t="s">
        <v>395</v>
      </c>
      <c r="BE62" s="24" t="s">
        <v>395</v>
      </c>
      <c r="BF62" s="24" t="s">
        <v>395</v>
      </c>
      <c r="BG62" s="24" t="s">
        <v>395</v>
      </c>
      <c r="BH62" s="24" t="s">
        <v>395</v>
      </c>
      <c r="BI62" s="24" t="s">
        <v>395</v>
      </c>
      <c r="BJ62" s="24" t="s">
        <v>395</v>
      </c>
      <c r="BK62" s="24" t="s">
        <v>395</v>
      </c>
      <c r="BL62" s="24" t="s">
        <v>395</v>
      </c>
      <c r="BM62" s="24" t="s">
        <v>395</v>
      </c>
      <c r="BN62" s="146">
        <v>190</v>
      </c>
      <c r="BO62" s="136" t="s">
        <v>395</v>
      </c>
      <c r="BP62" s="136" t="s">
        <v>395</v>
      </c>
      <c r="BQ62" s="136" t="s">
        <v>395</v>
      </c>
      <c r="BR62" s="136" t="s">
        <v>395</v>
      </c>
      <c r="BS62" s="136" t="s">
        <v>395</v>
      </c>
      <c r="BT62" s="136" t="s">
        <v>395</v>
      </c>
      <c r="BU62" s="136" t="s">
        <v>395</v>
      </c>
      <c r="BV62" s="136" t="s">
        <v>395</v>
      </c>
      <c r="BW62" s="136" t="s">
        <v>395</v>
      </c>
      <c r="BX62" s="136" t="s">
        <v>395</v>
      </c>
      <c r="BY62" s="136" t="s">
        <v>395</v>
      </c>
      <c r="BZ62" s="136" t="s">
        <v>395</v>
      </c>
      <c r="CA62" s="136" t="s">
        <v>395</v>
      </c>
      <c r="CB62" s="136" t="s">
        <v>395</v>
      </c>
      <c r="CC62" s="136" t="s">
        <v>395</v>
      </c>
      <c r="CD62" s="136" t="s">
        <v>395</v>
      </c>
      <c r="CE62" s="136" t="s">
        <v>395</v>
      </c>
      <c r="CF62" s="136" t="s">
        <v>395</v>
      </c>
      <c r="CG62" s="136" t="s">
        <v>395</v>
      </c>
      <c r="CH62" s="136" t="s">
        <v>395</v>
      </c>
      <c r="CI62" s="136" t="s">
        <v>395</v>
      </c>
      <c r="CJ62" s="136" t="s">
        <v>395</v>
      </c>
      <c r="CK62" s="136" t="s">
        <v>395</v>
      </c>
      <c r="CL62" s="136" t="s">
        <v>395</v>
      </c>
      <c r="CM62" s="136" t="s">
        <v>395</v>
      </c>
      <c r="CN62" s="136" t="s">
        <v>395</v>
      </c>
      <c r="CO62" s="136" t="s">
        <v>395</v>
      </c>
      <c r="CP62" s="136" t="s">
        <v>395</v>
      </c>
      <c r="CQ62" s="136" t="s">
        <v>395</v>
      </c>
      <c r="CR62" s="136" t="s">
        <v>395</v>
      </c>
      <c r="CS62" s="136" t="s">
        <v>395</v>
      </c>
      <c r="CT62" s="136" t="s">
        <v>395</v>
      </c>
      <c r="CU62" s="136" t="s">
        <v>395</v>
      </c>
      <c r="CV62" s="136" t="s">
        <v>395</v>
      </c>
      <c r="CW62" s="136" t="s">
        <v>395</v>
      </c>
      <c r="CX62" s="136" t="s">
        <v>395</v>
      </c>
      <c r="CY62" s="137" t="s">
        <v>395</v>
      </c>
      <c r="CZ62" s="147"/>
      <c r="DA62" s="107"/>
      <c r="DB62" s="107"/>
      <c r="DC62" s="107"/>
      <c r="DD62" s="107"/>
      <c r="DE62" s="107"/>
      <c r="DF62" s="107"/>
      <c r="DG62" s="107"/>
      <c r="DH62" s="108"/>
    </row>
    <row r="63" spans="1:112" s="102" customFormat="1" x14ac:dyDescent="0.3">
      <c r="A63" s="98" t="s">
        <v>21</v>
      </c>
      <c r="B63" s="98" t="s">
        <v>21</v>
      </c>
      <c r="C63" s="132" t="s">
        <v>20</v>
      </c>
      <c r="D63" s="132"/>
      <c r="E63" s="98"/>
      <c r="F63" s="98"/>
      <c r="G63" s="245">
        <v>44824</v>
      </c>
      <c r="H63" s="1" t="s">
        <v>168</v>
      </c>
      <c r="I63" s="75" t="s">
        <v>33</v>
      </c>
      <c r="J63" s="75" t="s">
        <v>169</v>
      </c>
      <c r="K63" s="155">
        <v>0.49905733614286002</v>
      </c>
      <c r="L63" s="24" t="s">
        <v>394</v>
      </c>
      <c r="M63" s="112">
        <v>3.3992219535274946E-2</v>
      </c>
      <c r="N63" s="110">
        <v>0.13652612764167807</v>
      </c>
      <c r="O63" s="111">
        <v>1.7141204920618234</v>
      </c>
      <c r="P63" s="111">
        <v>1.3181158658395542</v>
      </c>
      <c r="Q63" s="111">
        <v>7.7248028598464948</v>
      </c>
      <c r="R63" s="111">
        <v>6.0989801282725269</v>
      </c>
      <c r="S63" s="111">
        <v>2.4240878982231102</v>
      </c>
      <c r="T63" s="114">
        <f t="shared" si="7"/>
        <v>19.450625591420462</v>
      </c>
      <c r="U63" s="24">
        <f t="shared" si="6"/>
        <v>181.6676002172855</v>
      </c>
      <c r="V63" s="150" t="s">
        <v>194</v>
      </c>
      <c r="W63" s="150">
        <v>9.8001948100962466E-2</v>
      </c>
      <c r="X63" s="150">
        <v>3.6597708759077328E-2</v>
      </c>
      <c r="Y63" s="150">
        <v>3.0187796470031027E-2</v>
      </c>
      <c r="Z63" s="150" t="s">
        <v>194</v>
      </c>
      <c r="AA63" s="150">
        <v>2.5690656415779715E-2</v>
      </c>
      <c r="AB63" s="150">
        <v>1.9504204502099946E-2</v>
      </c>
      <c r="AC63" s="149" t="s">
        <v>195</v>
      </c>
      <c r="AD63" s="149">
        <v>0.2099823142479505</v>
      </c>
      <c r="AE63" s="24">
        <f t="shared" si="5"/>
        <v>0.2099823142479505</v>
      </c>
      <c r="AF63" s="113">
        <v>2.7336767952896648E-3</v>
      </c>
      <c r="AG63" s="25">
        <f t="shared" si="8"/>
        <v>2.7388404070139982E-2</v>
      </c>
      <c r="AH63" s="111">
        <v>8.9082893594282311</v>
      </c>
      <c r="AI63" s="145" t="s">
        <v>65</v>
      </c>
      <c r="AJ63" s="72" t="s">
        <v>395</v>
      </c>
      <c r="AK63" s="143" t="s">
        <v>65</v>
      </c>
      <c r="AL63" s="145" t="s">
        <v>133</v>
      </c>
      <c r="AM63" s="145" t="s">
        <v>65</v>
      </c>
      <c r="AN63" s="110">
        <v>0.58012156836550677</v>
      </c>
      <c r="AO63" s="110">
        <v>0.32990448199853056</v>
      </c>
      <c r="AP63" s="134" t="s">
        <v>395</v>
      </c>
      <c r="AQ63" s="110">
        <v>0.37514750740320191</v>
      </c>
      <c r="AR63" s="145" t="s">
        <v>65</v>
      </c>
      <c r="AS63" s="110">
        <v>0.2898492641328792</v>
      </c>
      <c r="AT63" s="110">
        <v>0.1664551466167925</v>
      </c>
      <c r="AU63" s="110" t="s">
        <v>69</v>
      </c>
      <c r="AV63" s="110" t="s">
        <v>65</v>
      </c>
      <c r="AW63" s="110" t="s">
        <v>65</v>
      </c>
      <c r="AX63" s="110" t="s">
        <v>395</v>
      </c>
      <c r="AY63" s="110" t="s">
        <v>395</v>
      </c>
      <c r="AZ63" s="110" t="s">
        <v>395</v>
      </c>
      <c r="BA63" s="110" t="s">
        <v>395</v>
      </c>
      <c r="BB63" s="110" t="s">
        <v>395</v>
      </c>
      <c r="BC63" s="24" t="s">
        <v>395</v>
      </c>
      <c r="BD63" s="24" t="s">
        <v>395</v>
      </c>
      <c r="BE63" s="24" t="s">
        <v>395</v>
      </c>
      <c r="BF63" s="24" t="s">
        <v>395</v>
      </c>
      <c r="BG63" s="24" t="s">
        <v>395</v>
      </c>
      <c r="BH63" s="24" t="s">
        <v>395</v>
      </c>
      <c r="BI63" s="24" t="s">
        <v>395</v>
      </c>
      <c r="BJ63" s="24" t="s">
        <v>395</v>
      </c>
      <c r="BK63" s="24" t="s">
        <v>395</v>
      </c>
      <c r="BL63" s="24" t="s">
        <v>395</v>
      </c>
      <c r="BM63" s="24" t="s">
        <v>395</v>
      </c>
      <c r="BN63" s="146">
        <v>78</v>
      </c>
      <c r="BO63" s="136" t="s">
        <v>395</v>
      </c>
      <c r="BP63" s="136" t="s">
        <v>395</v>
      </c>
      <c r="BQ63" s="136" t="s">
        <v>395</v>
      </c>
      <c r="BR63" s="136" t="s">
        <v>395</v>
      </c>
      <c r="BS63" s="136" t="s">
        <v>395</v>
      </c>
      <c r="BT63" s="136" t="s">
        <v>395</v>
      </c>
      <c r="BU63" s="136" t="s">
        <v>395</v>
      </c>
      <c r="BV63" s="136" t="s">
        <v>395</v>
      </c>
      <c r="BW63" s="136" t="s">
        <v>395</v>
      </c>
      <c r="BX63" s="136" t="s">
        <v>395</v>
      </c>
      <c r="BY63" s="136" t="s">
        <v>395</v>
      </c>
      <c r="BZ63" s="136" t="s">
        <v>395</v>
      </c>
      <c r="CA63" s="136" t="s">
        <v>395</v>
      </c>
      <c r="CB63" s="136" t="s">
        <v>395</v>
      </c>
      <c r="CC63" s="136" t="s">
        <v>395</v>
      </c>
      <c r="CD63" s="136" t="s">
        <v>395</v>
      </c>
      <c r="CE63" s="136" t="s">
        <v>395</v>
      </c>
      <c r="CF63" s="136" t="s">
        <v>395</v>
      </c>
      <c r="CG63" s="136" t="s">
        <v>395</v>
      </c>
      <c r="CH63" s="136" t="s">
        <v>395</v>
      </c>
      <c r="CI63" s="136" t="s">
        <v>395</v>
      </c>
      <c r="CJ63" s="136" t="s">
        <v>395</v>
      </c>
      <c r="CK63" s="136" t="s">
        <v>395</v>
      </c>
      <c r="CL63" s="136" t="s">
        <v>395</v>
      </c>
      <c r="CM63" s="136" t="s">
        <v>395</v>
      </c>
      <c r="CN63" s="136" t="s">
        <v>395</v>
      </c>
      <c r="CO63" s="136" t="s">
        <v>395</v>
      </c>
      <c r="CP63" s="136" t="s">
        <v>395</v>
      </c>
      <c r="CQ63" s="136" t="s">
        <v>395</v>
      </c>
      <c r="CR63" s="136" t="s">
        <v>395</v>
      </c>
      <c r="CS63" s="136" t="s">
        <v>395</v>
      </c>
      <c r="CT63" s="136" t="s">
        <v>395</v>
      </c>
      <c r="CU63" s="136" t="s">
        <v>395</v>
      </c>
      <c r="CV63" s="136" t="s">
        <v>395</v>
      </c>
      <c r="CW63" s="136" t="s">
        <v>395</v>
      </c>
      <c r="CX63" s="136" t="s">
        <v>395</v>
      </c>
      <c r="CY63" s="137" t="s">
        <v>395</v>
      </c>
      <c r="CZ63" s="147"/>
      <c r="DA63" s="107"/>
      <c r="DB63" s="107"/>
      <c r="DC63" s="107"/>
      <c r="DD63" s="107"/>
      <c r="DE63" s="107"/>
      <c r="DF63" s="107"/>
      <c r="DG63" s="107"/>
      <c r="DH63" s="108"/>
    </row>
    <row r="64" spans="1:112" s="102" customFormat="1" x14ac:dyDescent="0.3">
      <c r="A64" s="98" t="s">
        <v>23</v>
      </c>
      <c r="B64" s="98" t="s">
        <v>23</v>
      </c>
      <c r="C64" s="132" t="s">
        <v>20</v>
      </c>
      <c r="D64" s="132"/>
      <c r="E64" s="98"/>
      <c r="F64" s="98"/>
      <c r="G64" s="245">
        <v>44797</v>
      </c>
      <c r="H64" s="1" t="s">
        <v>168</v>
      </c>
      <c r="I64" s="75" t="s">
        <v>33</v>
      </c>
      <c r="J64" s="75" t="s">
        <v>169</v>
      </c>
      <c r="K64" s="155">
        <v>0.442023026315782</v>
      </c>
      <c r="L64" s="24" t="s">
        <v>394</v>
      </c>
      <c r="M64" s="110">
        <v>0.27718755855349447</v>
      </c>
      <c r="N64" s="111">
        <v>1.6492598838298669</v>
      </c>
      <c r="O64" s="111">
        <v>6.5728592842420834</v>
      </c>
      <c r="P64" s="111">
        <v>4.4530728873899195</v>
      </c>
      <c r="Q64" s="111">
        <v>9.4289863219036913</v>
      </c>
      <c r="R64" s="111">
        <v>8.7423458872025481</v>
      </c>
      <c r="S64" s="111">
        <v>2.2187090125538695</v>
      </c>
      <c r="T64" s="114">
        <f t="shared" si="7"/>
        <v>33.342420835675469</v>
      </c>
      <c r="U64" s="24">
        <f t="shared" si="6"/>
        <v>326.78555446619373</v>
      </c>
      <c r="V64" s="150" t="s">
        <v>196</v>
      </c>
      <c r="W64" s="150">
        <v>3.2531663622193251E-2</v>
      </c>
      <c r="X64" s="150">
        <v>1.409133186801247E-2</v>
      </c>
      <c r="Y64" s="150">
        <v>1.9448899161992841E-2</v>
      </c>
      <c r="Z64" s="150" t="s">
        <v>196</v>
      </c>
      <c r="AA64" s="150" t="s">
        <v>196</v>
      </c>
      <c r="AB64" s="150" t="s">
        <v>196</v>
      </c>
      <c r="AC64" s="149">
        <v>0.22757699923579233</v>
      </c>
      <c r="AD64" s="149">
        <v>0.29364889388799087</v>
      </c>
      <c r="AE64" s="24">
        <f t="shared" si="5"/>
        <v>6.6071894652198565E-2</v>
      </c>
      <c r="AF64" s="113">
        <v>8.4317032040472171E-3</v>
      </c>
      <c r="AG64" s="25">
        <f t="shared" si="8"/>
        <v>9.5376289266247347E-2</v>
      </c>
      <c r="AH64" s="114">
        <v>11.220625528317841</v>
      </c>
      <c r="AI64" s="145" t="s">
        <v>65</v>
      </c>
      <c r="AJ64" s="72" t="s">
        <v>395</v>
      </c>
      <c r="AK64" s="143" t="s">
        <v>65</v>
      </c>
      <c r="AL64" s="145" t="s">
        <v>133</v>
      </c>
      <c r="AM64" s="145" t="s">
        <v>65</v>
      </c>
      <c r="AN64" s="110">
        <v>0.67401828940290509</v>
      </c>
      <c r="AO64" s="110">
        <v>0.17390302005686628</v>
      </c>
      <c r="AP64" s="134" t="s">
        <v>395</v>
      </c>
      <c r="AQ64" s="110">
        <v>0.448653910192372</v>
      </c>
      <c r="AR64" s="145" t="s">
        <v>65</v>
      </c>
      <c r="AS64" s="110">
        <v>0.82051282051282093</v>
      </c>
      <c r="AT64" s="110">
        <v>0.34158149542764937</v>
      </c>
      <c r="AU64" s="110" t="s">
        <v>69</v>
      </c>
      <c r="AV64" s="110" t="s">
        <v>65</v>
      </c>
      <c r="AW64" s="110" t="s">
        <v>65</v>
      </c>
      <c r="AX64" s="110" t="s">
        <v>395</v>
      </c>
      <c r="AY64" s="110" t="s">
        <v>395</v>
      </c>
      <c r="AZ64" s="110" t="s">
        <v>395</v>
      </c>
      <c r="BA64" s="110" t="s">
        <v>395</v>
      </c>
      <c r="BB64" s="110" t="s">
        <v>395</v>
      </c>
      <c r="BC64" s="24" t="s">
        <v>395</v>
      </c>
      <c r="BD64" s="24" t="s">
        <v>395</v>
      </c>
      <c r="BE64" s="24" t="s">
        <v>395</v>
      </c>
      <c r="BF64" s="24" t="s">
        <v>395</v>
      </c>
      <c r="BG64" s="24" t="s">
        <v>395</v>
      </c>
      <c r="BH64" s="24" t="s">
        <v>395</v>
      </c>
      <c r="BI64" s="24" t="s">
        <v>395</v>
      </c>
      <c r="BJ64" s="24" t="s">
        <v>395</v>
      </c>
      <c r="BK64" s="24" t="s">
        <v>395</v>
      </c>
      <c r="BL64" s="24" t="s">
        <v>395</v>
      </c>
      <c r="BM64" s="24" t="s">
        <v>395</v>
      </c>
      <c r="BN64" s="146">
        <v>390</v>
      </c>
      <c r="BO64" s="136" t="s">
        <v>395</v>
      </c>
      <c r="BP64" s="136" t="s">
        <v>395</v>
      </c>
      <c r="BQ64" s="136" t="s">
        <v>395</v>
      </c>
      <c r="BR64" s="136" t="s">
        <v>395</v>
      </c>
      <c r="BS64" s="136" t="s">
        <v>395</v>
      </c>
      <c r="BT64" s="136" t="s">
        <v>395</v>
      </c>
      <c r="BU64" s="136" t="s">
        <v>395</v>
      </c>
      <c r="BV64" s="136" t="s">
        <v>395</v>
      </c>
      <c r="BW64" s="136" t="s">
        <v>395</v>
      </c>
      <c r="BX64" s="136" t="s">
        <v>395</v>
      </c>
      <c r="BY64" s="136" t="s">
        <v>395</v>
      </c>
      <c r="BZ64" s="136" t="s">
        <v>395</v>
      </c>
      <c r="CA64" s="136" t="s">
        <v>395</v>
      </c>
      <c r="CB64" s="136" t="s">
        <v>395</v>
      </c>
      <c r="CC64" s="136" t="s">
        <v>395</v>
      </c>
      <c r="CD64" s="136" t="s">
        <v>395</v>
      </c>
      <c r="CE64" s="136" t="s">
        <v>395</v>
      </c>
      <c r="CF64" s="136" t="s">
        <v>395</v>
      </c>
      <c r="CG64" s="136" t="s">
        <v>395</v>
      </c>
      <c r="CH64" s="136" t="s">
        <v>395</v>
      </c>
      <c r="CI64" s="136" t="s">
        <v>395</v>
      </c>
      <c r="CJ64" s="136" t="s">
        <v>395</v>
      </c>
      <c r="CK64" s="136" t="s">
        <v>395</v>
      </c>
      <c r="CL64" s="136" t="s">
        <v>395</v>
      </c>
      <c r="CM64" s="136" t="s">
        <v>395</v>
      </c>
      <c r="CN64" s="136" t="s">
        <v>395</v>
      </c>
      <c r="CO64" s="136" t="s">
        <v>395</v>
      </c>
      <c r="CP64" s="136" t="s">
        <v>395</v>
      </c>
      <c r="CQ64" s="136" t="s">
        <v>395</v>
      </c>
      <c r="CR64" s="136" t="s">
        <v>395</v>
      </c>
      <c r="CS64" s="136" t="s">
        <v>395</v>
      </c>
      <c r="CT64" s="136" t="s">
        <v>395</v>
      </c>
      <c r="CU64" s="136" t="s">
        <v>395</v>
      </c>
      <c r="CV64" s="136" t="s">
        <v>395</v>
      </c>
      <c r="CW64" s="136" t="s">
        <v>395</v>
      </c>
      <c r="CX64" s="136" t="s">
        <v>395</v>
      </c>
      <c r="CY64" s="137" t="s">
        <v>395</v>
      </c>
      <c r="CZ64" s="147"/>
      <c r="DA64" s="107"/>
      <c r="DB64" s="107"/>
      <c r="DC64" s="107"/>
      <c r="DD64" s="107"/>
      <c r="DE64" s="107"/>
      <c r="DF64" s="107"/>
      <c r="DG64" s="107"/>
      <c r="DH64" s="108"/>
    </row>
    <row r="65" spans="1:112" s="102" customFormat="1" x14ac:dyDescent="0.3">
      <c r="A65" s="98" t="s">
        <v>5</v>
      </c>
      <c r="B65" s="98" t="s">
        <v>5</v>
      </c>
      <c r="C65" s="132" t="s">
        <v>20</v>
      </c>
      <c r="D65" s="132"/>
      <c r="E65" s="98"/>
      <c r="F65" s="98"/>
      <c r="G65" s="245">
        <v>44819</v>
      </c>
      <c r="H65" s="1" t="s">
        <v>168</v>
      </c>
      <c r="I65" s="75" t="s">
        <v>33</v>
      </c>
      <c r="J65" s="75" t="s">
        <v>169</v>
      </c>
      <c r="K65" s="155">
        <v>0.56092240573389496</v>
      </c>
      <c r="L65" s="24" t="s">
        <v>394</v>
      </c>
      <c r="M65" s="111">
        <v>1.9091693744922826</v>
      </c>
      <c r="N65" s="111">
        <v>3.705168562144598</v>
      </c>
      <c r="O65" s="114">
        <v>11.435428513403735</v>
      </c>
      <c r="P65" s="110">
        <v>9.6780767668562149</v>
      </c>
      <c r="Q65" s="114">
        <v>16.115465069049552</v>
      </c>
      <c r="R65" s="114">
        <v>15.075203086921201</v>
      </c>
      <c r="S65" s="111">
        <v>2.9742993501218522</v>
      </c>
      <c r="T65" s="114">
        <f t="shared" si="7"/>
        <v>60.892810722989431</v>
      </c>
      <c r="U65" s="24">
        <f t="shared" si="6"/>
        <v>456.52244795895888</v>
      </c>
      <c r="V65" s="150" t="s">
        <v>197</v>
      </c>
      <c r="W65" s="150">
        <v>8.9237697767672083E-2</v>
      </c>
      <c r="X65" s="150">
        <v>4.8572417772277207E-2</v>
      </c>
      <c r="Y65" s="150">
        <v>0.10817321191757452</v>
      </c>
      <c r="Z65" s="150" t="s">
        <v>197</v>
      </c>
      <c r="AA65" s="150">
        <v>2.5244875026380918E-2</v>
      </c>
      <c r="AB65" s="150">
        <v>2.2655520966523773E-2</v>
      </c>
      <c r="AC65" s="149">
        <v>0.11218151532684814</v>
      </c>
      <c r="AD65" s="149">
        <v>0.40606523877727663</v>
      </c>
      <c r="AE65" s="24">
        <f t="shared" si="5"/>
        <v>0.29388372345042851</v>
      </c>
      <c r="AF65" s="113">
        <v>2.7416734362307065E-3</v>
      </c>
      <c r="AG65" s="25">
        <f t="shared" si="8"/>
        <v>2.4438972380177778E-2</v>
      </c>
      <c r="AH65" s="111">
        <v>3.7842987804878048</v>
      </c>
      <c r="AI65" s="145" t="s">
        <v>65</v>
      </c>
      <c r="AJ65" s="72" t="s">
        <v>395</v>
      </c>
      <c r="AK65" s="143" t="s">
        <v>65</v>
      </c>
      <c r="AL65" s="145" t="s">
        <v>133</v>
      </c>
      <c r="AM65" s="145" t="s">
        <v>65</v>
      </c>
      <c r="AN65" s="110">
        <v>0.21493902439024387</v>
      </c>
      <c r="AO65" s="110">
        <v>0.10428215077605321</v>
      </c>
      <c r="AP65" s="134" t="s">
        <v>395</v>
      </c>
      <c r="AQ65" s="110">
        <v>0.16056910569105692</v>
      </c>
      <c r="AR65" s="145" t="s">
        <v>65</v>
      </c>
      <c r="AS65" s="110">
        <v>0.6337536954915004</v>
      </c>
      <c r="AT65" s="110">
        <v>0.23815133037694014</v>
      </c>
      <c r="AU65" s="110" t="s">
        <v>69</v>
      </c>
      <c r="AV65" s="110" t="s">
        <v>65</v>
      </c>
      <c r="AW65" s="110" t="s">
        <v>65</v>
      </c>
      <c r="AX65" s="110" t="s">
        <v>395</v>
      </c>
      <c r="AY65" s="110" t="s">
        <v>395</v>
      </c>
      <c r="AZ65" s="110" t="s">
        <v>395</v>
      </c>
      <c r="BA65" s="110" t="s">
        <v>395</v>
      </c>
      <c r="BB65" s="110" t="s">
        <v>395</v>
      </c>
      <c r="BC65" s="24" t="s">
        <v>395</v>
      </c>
      <c r="BD65" s="24" t="s">
        <v>395</v>
      </c>
      <c r="BE65" s="24" t="s">
        <v>395</v>
      </c>
      <c r="BF65" s="24" t="s">
        <v>395</v>
      </c>
      <c r="BG65" s="24" t="s">
        <v>395</v>
      </c>
      <c r="BH65" s="24" t="s">
        <v>395</v>
      </c>
      <c r="BI65" s="24" t="s">
        <v>395</v>
      </c>
      <c r="BJ65" s="24" t="s">
        <v>395</v>
      </c>
      <c r="BK65" s="24" t="s">
        <v>395</v>
      </c>
      <c r="BL65" s="24" t="s">
        <v>395</v>
      </c>
      <c r="BM65" s="24" t="s">
        <v>395</v>
      </c>
      <c r="BN65" s="146">
        <v>110</v>
      </c>
      <c r="BO65" s="136" t="s">
        <v>395</v>
      </c>
      <c r="BP65" s="136" t="s">
        <v>395</v>
      </c>
      <c r="BQ65" s="136" t="s">
        <v>395</v>
      </c>
      <c r="BR65" s="136" t="s">
        <v>395</v>
      </c>
      <c r="BS65" s="136" t="s">
        <v>395</v>
      </c>
      <c r="BT65" s="136" t="s">
        <v>395</v>
      </c>
      <c r="BU65" s="136" t="s">
        <v>395</v>
      </c>
      <c r="BV65" s="136" t="s">
        <v>395</v>
      </c>
      <c r="BW65" s="136" t="s">
        <v>395</v>
      </c>
      <c r="BX65" s="136" t="s">
        <v>395</v>
      </c>
      <c r="BY65" s="136" t="s">
        <v>395</v>
      </c>
      <c r="BZ65" s="136" t="s">
        <v>395</v>
      </c>
      <c r="CA65" s="136" t="s">
        <v>395</v>
      </c>
      <c r="CB65" s="136" t="s">
        <v>395</v>
      </c>
      <c r="CC65" s="136" t="s">
        <v>395</v>
      </c>
      <c r="CD65" s="136" t="s">
        <v>395</v>
      </c>
      <c r="CE65" s="136" t="s">
        <v>395</v>
      </c>
      <c r="CF65" s="136" t="s">
        <v>395</v>
      </c>
      <c r="CG65" s="136" t="s">
        <v>395</v>
      </c>
      <c r="CH65" s="136" t="s">
        <v>395</v>
      </c>
      <c r="CI65" s="136" t="s">
        <v>395</v>
      </c>
      <c r="CJ65" s="136" t="s">
        <v>395</v>
      </c>
      <c r="CK65" s="136" t="s">
        <v>395</v>
      </c>
      <c r="CL65" s="136" t="s">
        <v>395</v>
      </c>
      <c r="CM65" s="136" t="s">
        <v>395</v>
      </c>
      <c r="CN65" s="136" t="s">
        <v>395</v>
      </c>
      <c r="CO65" s="136" t="s">
        <v>395</v>
      </c>
      <c r="CP65" s="136" t="s">
        <v>395</v>
      </c>
      <c r="CQ65" s="136" t="s">
        <v>395</v>
      </c>
      <c r="CR65" s="136" t="s">
        <v>395</v>
      </c>
      <c r="CS65" s="136" t="s">
        <v>395</v>
      </c>
      <c r="CT65" s="136" t="s">
        <v>395</v>
      </c>
      <c r="CU65" s="136" t="s">
        <v>395</v>
      </c>
      <c r="CV65" s="136" t="s">
        <v>395</v>
      </c>
      <c r="CW65" s="136" t="s">
        <v>395</v>
      </c>
      <c r="CX65" s="136" t="s">
        <v>395</v>
      </c>
      <c r="CY65" s="137" t="s">
        <v>395</v>
      </c>
      <c r="CZ65" s="147"/>
      <c r="DA65" s="107"/>
      <c r="DB65" s="107"/>
      <c r="DC65" s="107"/>
      <c r="DD65" s="107"/>
      <c r="DE65" s="107"/>
      <c r="DF65" s="107"/>
      <c r="DG65" s="107"/>
      <c r="DH65" s="108"/>
    </row>
    <row r="66" spans="1:112" s="102" customFormat="1" x14ac:dyDescent="0.3">
      <c r="A66" s="98" t="s">
        <v>167</v>
      </c>
      <c r="B66" s="98" t="s">
        <v>167</v>
      </c>
      <c r="C66" s="132" t="s">
        <v>20</v>
      </c>
      <c r="D66" s="132"/>
      <c r="E66" s="98"/>
      <c r="F66" s="98"/>
      <c r="G66" s="245">
        <v>44819</v>
      </c>
      <c r="H66" s="1" t="s">
        <v>168</v>
      </c>
      <c r="I66" s="75" t="s">
        <v>33</v>
      </c>
      <c r="J66" s="75" t="s">
        <v>169</v>
      </c>
      <c r="K66" s="155">
        <v>0.52541282436199299</v>
      </c>
      <c r="L66" s="24" t="s">
        <v>394</v>
      </c>
      <c r="M66" s="110">
        <v>0.40043976273266518</v>
      </c>
      <c r="N66" s="111">
        <v>1.4289527510738391</v>
      </c>
      <c r="O66" s="111">
        <v>5.0307527101656779</v>
      </c>
      <c r="P66" s="111">
        <v>4.382368582532215</v>
      </c>
      <c r="Q66" s="111">
        <v>8.3414604213540589</v>
      </c>
      <c r="R66" s="111">
        <v>6.2609736142360397</v>
      </c>
      <c r="S66" s="111">
        <v>1.4847105747596645</v>
      </c>
      <c r="T66" s="114">
        <f t="shared" si="7"/>
        <v>27.329658416854159</v>
      </c>
      <c r="U66" s="24">
        <f>SUM(M66,N66,O66,Q66,R66,S66)*(5/K66)</f>
        <v>218.37390305600897</v>
      </c>
      <c r="V66" s="150" t="s">
        <v>198</v>
      </c>
      <c r="W66" s="150">
        <v>5.4267768754741479E-2</v>
      </c>
      <c r="X66" s="150">
        <v>1.9133812488933991E-2</v>
      </c>
      <c r="Y66" s="150">
        <v>1.2703208291579626E-2</v>
      </c>
      <c r="Z66" s="150" t="s">
        <v>198</v>
      </c>
      <c r="AA66" s="150">
        <v>1.3314142023678813E-2</v>
      </c>
      <c r="AB66" s="150" t="s">
        <v>198</v>
      </c>
      <c r="AC66" s="113">
        <v>8.3859443016137764E-2</v>
      </c>
      <c r="AD66" s="110">
        <v>0.18327837457507168</v>
      </c>
      <c r="AE66" s="24">
        <f t="shared" si="5"/>
        <v>9.9418931558933901E-2</v>
      </c>
      <c r="AF66" s="113">
        <v>1.7385968500715893E-3</v>
      </c>
      <c r="AG66" s="25">
        <f t="shared" si="8"/>
        <v>1.6545055330375324E-2</v>
      </c>
      <c r="AH66" s="111">
        <v>4.3768952647539061</v>
      </c>
      <c r="AI66" s="145" t="s">
        <v>65</v>
      </c>
      <c r="AJ66" s="72" t="s">
        <v>395</v>
      </c>
      <c r="AK66" s="143" t="s">
        <v>65</v>
      </c>
      <c r="AL66" s="145" t="s">
        <v>133</v>
      </c>
      <c r="AM66" s="145" t="s">
        <v>65</v>
      </c>
      <c r="AN66" s="143">
        <v>0.48588756706321429</v>
      </c>
      <c r="AO66" s="143">
        <v>0.25379052950781428</v>
      </c>
      <c r="AP66" s="134" t="s">
        <v>395</v>
      </c>
      <c r="AQ66" s="143">
        <v>0.33230308685172222</v>
      </c>
      <c r="AR66" s="145" t="s">
        <v>65</v>
      </c>
      <c r="AS66" s="143">
        <v>0.58335277194619384</v>
      </c>
      <c r="AT66" s="143">
        <v>0.24865873571261951</v>
      </c>
      <c r="AU66" s="143" t="s">
        <v>69</v>
      </c>
      <c r="AV66" s="110" t="s">
        <v>65</v>
      </c>
      <c r="AW66" s="143" t="s">
        <v>65</v>
      </c>
      <c r="AX66" s="143" t="s">
        <v>395</v>
      </c>
      <c r="AY66" s="143" t="s">
        <v>395</v>
      </c>
      <c r="AZ66" s="143" t="s">
        <v>395</v>
      </c>
      <c r="BA66" s="143" t="s">
        <v>395</v>
      </c>
      <c r="BB66" s="143" t="s">
        <v>395</v>
      </c>
      <c r="BC66" s="24" t="s">
        <v>395</v>
      </c>
      <c r="BD66" s="24" t="s">
        <v>395</v>
      </c>
      <c r="BE66" s="24" t="s">
        <v>395</v>
      </c>
      <c r="BF66" s="24" t="s">
        <v>395</v>
      </c>
      <c r="BG66" s="24" t="s">
        <v>395</v>
      </c>
      <c r="BH66" s="24" t="s">
        <v>395</v>
      </c>
      <c r="BI66" s="24" t="s">
        <v>395</v>
      </c>
      <c r="BJ66" s="24" t="s">
        <v>395</v>
      </c>
      <c r="BK66" s="24" t="s">
        <v>395</v>
      </c>
      <c r="BL66" s="24" t="s">
        <v>395</v>
      </c>
      <c r="BM66" s="24" t="s">
        <v>395</v>
      </c>
      <c r="BN66" s="146">
        <v>40</v>
      </c>
      <c r="BO66" s="136" t="s">
        <v>395</v>
      </c>
      <c r="BP66" s="136" t="s">
        <v>395</v>
      </c>
      <c r="BQ66" s="136" t="s">
        <v>395</v>
      </c>
      <c r="BR66" s="136" t="s">
        <v>395</v>
      </c>
      <c r="BS66" s="136" t="s">
        <v>395</v>
      </c>
      <c r="BT66" s="136" t="s">
        <v>395</v>
      </c>
      <c r="BU66" s="136" t="s">
        <v>395</v>
      </c>
      <c r="BV66" s="136" t="s">
        <v>395</v>
      </c>
      <c r="BW66" s="136" t="s">
        <v>395</v>
      </c>
      <c r="BX66" s="136" t="s">
        <v>395</v>
      </c>
      <c r="BY66" s="136" t="s">
        <v>395</v>
      </c>
      <c r="BZ66" s="136" t="s">
        <v>395</v>
      </c>
      <c r="CA66" s="136" t="s">
        <v>395</v>
      </c>
      <c r="CB66" s="136" t="s">
        <v>395</v>
      </c>
      <c r="CC66" s="136" t="s">
        <v>395</v>
      </c>
      <c r="CD66" s="136" t="s">
        <v>395</v>
      </c>
      <c r="CE66" s="136" t="s">
        <v>395</v>
      </c>
      <c r="CF66" s="136" t="s">
        <v>395</v>
      </c>
      <c r="CG66" s="136" t="s">
        <v>395</v>
      </c>
      <c r="CH66" s="136" t="s">
        <v>395</v>
      </c>
      <c r="CI66" s="136" t="s">
        <v>395</v>
      </c>
      <c r="CJ66" s="136" t="s">
        <v>395</v>
      </c>
      <c r="CK66" s="136" t="s">
        <v>395</v>
      </c>
      <c r="CL66" s="136" t="s">
        <v>395</v>
      </c>
      <c r="CM66" s="136" t="s">
        <v>395</v>
      </c>
      <c r="CN66" s="136" t="s">
        <v>395</v>
      </c>
      <c r="CO66" s="136" t="s">
        <v>395</v>
      </c>
      <c r="CP66" s="136" t="s">
        <v>395</v>
      </c>
      <c r="CQ66" s="136" t="s">
        <v>395</v>
      </c>
      <c r="CR66" s="136" t="s">
        <v>395</v>
      </c>
      <c r="CS66" s="136" t="s">
        <v>395</v>
      </c>
      <c r="CT66" s="136" t="s">
        <v>395</v>
      </c>
      <c r="CU66" s="136" t="s">
        <v>395</v>
      </c>
      <c r="CV66" s="136" t="s">
        <v>395</v>
      </c>
      <c r="CW66" s="136" t="s">
        <v>395</v>
      </c>
      <c r="CX66" s="136" t="s">
        <v>395</v>
      </c>
      <c r="CY66" s="137" t="s">
        <v>395</v>
      </c>
      <c r="CZ66" s="147"/>
      <c r="DA66" s="107"/>
      <c r="DB66" s="107"/>
      <c r="DC66" s="107"/>
      <c r="DD66" s="107"/>
      <c r="DE66" s="107"/>
      <c r="DF66" s="107"/>
      <c r="DG66" s="107"/>
      <c r="DH66" s="108"/>
    </row>
    <row r="67" spans="1:112" x14ac:dyDescent="0.3">
      <c r="A67" s="98" t="s">
        <v>4</v>
      </c>
      <c r="B67" s="98" t="s">
        <v>4</v>
      </c>
      <c r="C67" s="132" t="s">
        <v>20</v>
      </c>
      <c r="D67" s="132"/>
      <c r="E67" s="98"/>
      <c r="F67" s="98"/>
      <c r="G67" s="245">
        <v>44483</v>
      </c>
      <c r="H67" s="1">
        <v>2021</v>
      </c>
      <c r="I67" s="75" t="s">
        <v>33</v>
      </c>
      <c r="J67" s="75">
        <v>10</v>
      </c>
      <c r="K67" s="155">
        <v>0.85</v>
      </c>
      <c r="L67" s="5" t="s">
        <v>394</v>
      </c>
      <c r="M67" s="67">
        <v>0.49893779904306224</v>
      </c>
      <c r="N67" s="68">
        <v>1.1133397129186604</v>
      </c>
      <c r="O67" s="68">
        <v>3.7973588516746415</v>
      </c>
      <c r="P67" s="68">
        <v>3.4587846889952156</v>
      </c>
      <c r="Q67" s="68">
        <v>7.6062679425837327</v>
      </c>
      <c r="R67" s="68">
        <v>6.8954928229665082</v>
      </c>
      <c r="S67" s="68">
        <v>2.1574736842105264</v>
      </c>
      <c r="T67" s="69">
        <f t="shared" ref="T67:T81" si="9">SUM(M67:S67)</f>
        <v>25.527655502392346</v>
      </c>
      <c r="U67" s="5">
        <f t="shared" ref="U67:U128" si="10">SUM(M67,N67,O67,Q67,R67,S67)*(5/K67)</f>
        <v>129.81688713763018</v>
      </c>
      <c r="V67" s="70">
        <v>7.7000000000000002E-3</v>
      </c>
      <c r="W67" s="67">
        <v>0.19</v>
      </c>
      <c r="X67" s="70">
        <v>5.6000000000000001E-2</v>
      </c>
      <c r="Y67" s="67">
        <v>0.13</v>
      </c>
      <c r="Z67" s="73" t="s">
        <v>76</v>
      </c>
      <c r="AA67" s="70">
        <v>2.8000000000000001E-2</v>
      </c>
      <c r="AB67" s="70">
        <v>2.3E-2</v>
      </c>
      <c r="AC67" s="67" t="s">
        <v>65</v>
      </c>
      <c r="AD67" s="67">
        <v>0.43470000000000009</v>
      </c>
      <c r="AE67" s="5">
        <f>SUM(V67,W67,Y67,X67,AB67,AA67)</f>
        <v>0.43470000000000003</v>
      </c>
      <c r="AF67" s="71">
        <v>4.2296650717703353E-2</v>
      </c>
      <c r="AG67" s="250">
        <f t="shared" ref="AG67:AG81" si="11">AF67*(5/K67)</f>
        <v>0.24880382775119622</v>
      </c>
      <c r="AH67" s="84">
        <v>23.498233673046133</v>
      </c>
      <c r="AI67" s="85" t="s">
        <v>133</v>
      </c>
      <c r="AJ67" s="205" t="s">
        <v>395</v>
      </c>
      <c r="AK67" s="85" t="s">
        <v>395</v>
      </c>
      <c r="AL67" s="85" t="s">
        <v>65</v>
      </c>
      <c r="AM67" s="85" t="s">
        <v>65</v>
      </c>
      <c r="AN67" s="86">
        <v>1.8116525834161761</v>
      </c>
      <c r="AO67" s="85" t="s">
        <v>133</v>
      </c>
      <c r="AP67" s="16" t="s">
        <v>395</v>
      </c>
      <c r="AQ67" s="85">
        <v>0.85981041778185618</v>
      </c>
      <c r="AR67" s="85" t="s">
        <v>69</v>
      </c>
      <c r="AS67" s="86">
        <v>2.2384839041945002</v>
      </c>
      <c r="AT67" s="85">
        <v>0.64320530957661037</v>
      </c>
      <c r="AU67" s="85">
        <v>0.65453016051777246</v>
      </c>
      <c r="AV67" s="85" t="s">
        <v>133</v>
      </c>
      <c r="AW67" s="84" t="s">
        <v>154</v>
      </c>
      <c r="AX67" s="84" t="s">
        <v>395</v>
      </c>
      <c r="AY67" s="84" t="s">
        <v>395</v>
      </c>
      <c r="AZ67" s="84" t="s">
        <v>395</v>
      </c>
      <c r="BA67" s="84" t="s">
        <v>395</v>
      </c>
      <c r="BB67" s="84" t="s">
        <v>395</v>
      </c>
      <c r="BC67" s="5" t="s">
        <v>395</v>
      </c>
      <c r="BD67" s="5" t="s">
        <v>395</v>
      </c>
      <c r="BE67" s="5" t="s">
        <v>395</v>
      </c>
      <c r="BF67" s="5" t="s">
        <v>395</v>
      </c>
      <c r="BG67" s="5" t="s">
        <v>395</v>
      </c>
      <c r="BH67" s="5" t="s">
        <v>395</v>
      </c>
      <c r="BI67" s="5" t="s">
        <v>395</v>
      </c>
      <c r="BJ67" s="5" t="s">
        <v>395</v>
      </c>
      <c r="BK67" s="5" t="s">
        <v>395</v>
      </c>
      <c r="BL67" s="5" t="s">
        <v>395</v>
      </c>
      <c r="BM67" s="5" t="s">
        <v>395</v>
      </c>
      <c r="BN67" s="1">
        <v>110</v>
      </c>
      <c r="BO67" s="57" t="s">
        <v>395</v>
      </c>
      <c r="BP67" s="57" t="s">
        <v>395</v>
      </c>
      <c r="BQ67" s="57" t="s">
        <v>395</v>
      </c>
      <c r="BR67" s="57" t="s">
        <v>395</v>
      </c>
      <c r="BS67" s="57" t="s">
        <v>395</v>
      </c>
      <c r="BT67" s="57" t="s">
        <v>395</v>
      </c>
      <c r="BU67" s="57" t="s">
        <v>395</v>
      </c>
      <c r="BV67" s="57" t="s">
        <v>395</v>
      </c>
      <c r="BW67" s="57" t="s">
        <v>395</v>
      </c>
      <c r="BX67" s="57" t="s">
        <v>395</v>
      </c>
      <c r="BY67" s="57" t="s">
        <v>395</v>
      </c>
      <c r="BZ67" s="57" t="s">
        <v>395</v>
      </c>
      <c r="CA67" s="57" t="s">
        <v>395</v>
      </c>
      <c r="CB67" s="57" t="s">
        <v>395</v>
      </c>
      <c r="CC67" s="57" t="s">
        <v>395</v>
      </c>
      <c r="CD67" s="57" t="s">
        <v>395</v>
      </c>
      <c r="CE67" s="57" t="s">
        <v>395</v>
      </c>
      <c r="CF67" s="57" t="s">
        <v>395</v>
      </c>
      <c r="CG67" s="57" t="s">
        <v>395</v>
      </c>
      <c r="CH67" s="57" t="s">
        <v>395</v>
      </c>
      <c r="CI67" s="57" t="s">
        <v>395</v>
      </c>
      <c r="CJ67" s="57" t="s">
        <v>395</v>
      </c>
      <c r="CK67" s="57" t="s">
        <v>395</v>
      </c>
      <c r="CL67" s="57" t="s">
        <v>395</v>
      </c>
      <c r="CM67" s="57" t="s">
        <v>395</v>
      </c>
      <c r="CN67" s="57" t="s">
        <v>395</v>
      </c>
      <c r="CO67" s="57" t="s">
        <v>395</v>
      </c>
      <c r="CP67" s="57" t="s">
        <v>395</v>
      </c>
      <c r="CQ67" s="57" t="s">
        <v>395</v>
      </c>
      <c r="CR67" s="57" t="s">
        <v>395</v>
      </c>
      <c r="CS67" s="57" t="s">
        <v>395</v>
      </c>
      <c r="CT67" s="57" t="s">
        <v>395</v>
      </c>
      <c r="CU67" s="57" t="s">
        <v>395</v>
      </c>
      <c r="CV67" s="57" t="s">
        <v>395</v>
      </c>
      <c r="CW67" s="57" t="s">
        <v>395</v>
      </c>
      <c r="CX67" s="57" t="s">
        <v>395</v>
      </c>
      <c r="CY67" s="59" t="s">
        <v>395</v>
      </c>
      <c r="CZ67" s="64"/>
    </row>
    <row r="68" spans="1:112" x14ac:dyDescent="0.3">
      <c r="A68" s="98" t="s">
        <v>9</v>
      </c>
      <c r="B68" s="98" t="s">
        <v>9</v>
      </c>
      <c r="C68" s="132" t="s">
        <v>20</v>
      </c>
      <c r="D68" s="132"/>
      <c r="E68" s="98"/>
      <c r="F68" s="98"/>
      <c r="G68" s="245">
        <v>44467</v>
      </c>
      <c r="H68" s="1">
        <v>2021</v>
      </c>
      <c r="I68" s="75" t="s">
        <v>33</v>
      </c>
      <c r="J68" s="75">
        <v>10</v>
      </c>
      <c r="K68" s="155">
        <v>0.74</v>
      </c>
      <c r="L68" s="5" t="s">
        <v>394</v>
      </c>
      <c r="M68" s="70">
        <v>3.0484827345657484E-2</v>
      </c>
      <c r="N68" s="67">
        <v>0.12925531914893618</v>
      </c>
      <c r="O68" s="68">
        <v>1.0435734216951518</v>
      </c>
      <c r="P68" s="67">
        <v>0.78927014300662712</v>
      </c>
      <c r="Q68" s="68">
        <v>3.9455964422741543</v>
      </c>
      <c r="R68" s="68">
        <v>3.0762469480292989</v>
      </c>
      <c r="S68" s="68">
        <v>1.5950470875479597</v>
      </c>
      <c r="T68" s="69">
        <f t="shared" si="9"/>
        <v>10.609474189047786</v>
      </c>
      <c r="U68" s="5">
        <f t="shared" si="10"/>
        <v>66.352730040818628</v>
      </c>
      <c r="V68" s="72" t="s">
        <v>68</v>
      </c>
      <c r="W68" s="70">
        <v>0.09</v>
      </c>
      <c r="X68" s="70">
        <v>2.5999999999999999E-2</v>
      </c>
      <c r="Y68" s="70">
        <v>2.9000000000000001E-2</v>
      </c>
      <c r="Z68" s="80" t="s">
        <v>68</v>
      </c>
      <c r="AA68" s="70">
        <v>2.1000000000000001E-2</v>
      </c>
      <c r="AB68" s="70">
        <v>1.2E-2</v>
      </c>
      <c r="AC68" s="67" t="s">
        <v>65</v>
      </c>
      <c r="AD68" s="67">
        <v>0.17799999999999999</v>
      </c>
      <c r="AE68" s="5">
        <f>SUM(V68,W68,Y68,X68,AB68,AA68)</f>
        <v>0.17799999999999999</v>
      </c>
      <c r="AF68" s="70">
        <v>1.1771886989884899E-2</v>
      </c>
      <c r="AG68" s="250">
        <f t="shared" si="11"/>
        <v>7.9539776958681752E-2</v>
      </c>
      <c r="AH68" s="86">
        <v>3.1505038066233935</v>
      </c>
      <c r="AI68" s="85" t="s">
        <v>133</v>
      </c>
      <c r="AJ68" s="205" t="s">
        <v>395</v>
      </c>
      <c r="AK68" s="85" t="s">
        <v>395</v>
      </c>
      <c r="AL68" s="85" t="s">
        <v>65</v>
      </c>
      <c r="AM68" s="85" t="s">
        <v>65</v>
      </c>
      <c r="AN68" s="86">
        <v>1.1241853438952707</v>
      </c>
      <c r="AO68" s="85" t="s">
        <v>133</v>
      </c>
      <c r="AP68" s="16" t="s">
        <v>395</v>
      </c>
      <c r="AQ68" s="85">
        <v>0.47843247415663104</v>
      </c>
      <c r="AR68" s="85" t="s">
        <v>69</v>
      </c>
      <c r="AS68" s="85">
        <v>0.93365791734129977</v>
      </c>
      <c r="AT68" s="85">
        <v>0.23413826297454951</v>
      </c>
      <c r="AU68" s="85">
        <v>0.35017341783436057</v>
      </c>
      <c r="AV68" s="85" t="s">
        <v>133</v>
      </c>
      <c r="AW68" s="84" t="s">
        <v>154</v>
      </c>
      <c r="AX68" s="84" t="s">
        <v>395</v>
      </c>
      <c r="AY68" s="84" t="s">
        <v>395</v>
      </c>
      <c r="AZ68" s="84" t="s">
        <v>395</v>
      </c>
      <c r="BA68" s="84" t="s">
        <v>395</v>
      </c>
      <c r="BB68" s="84" t="s">
        <v>395</v>
      </c>
      <c r="BC68" s="5" t="s">
        <v>395</v>
      </c>
      <c r="BD68" s="5" t="s">
        <v>395</v>
      </c>
      <c r="BE68" s="5" t="s">
        <v>395</v>
      </c>
      <c r="BF68" s="5" t="s">
        <v>395</v>
      </c>
      <c r="BG68" s="5" t="s">
        <v>395</v>
      </c>
      <c r="BH68" s="5" t="s">
        <v>395</v>
      </c>
      <c r="BI68" s="5" t="s">
        <v>395</v>
      </c>
      <c r="BJ68" s="5" t="s">
        <v>395</v>
      </c>
      <c r="BK68" s="5" t="s">
        <v>395</v>
      </c>
      <c r="BL68" s="5" t="s">
        <v>395</v>
      </c>
      <c r="BM68" s="5" t="s">
        <v>395</v>
      </c>
      <c r="BN68" s="1">
        <v>65</v>
      </c>
      <c r="BO68" s="57" t="s">
        <v>395</v>
      </c>
      <c r="BP68" s="57" t="s">
        <v>395</v>
      </c>
      <c r="BQ68" s="57" t="s">
        <v>395</v>
      </c>
      <c r="BR68" s="57" t="s">
        <v>395</v>
      </c>
      <c r="BS68" s="57" t="s">
        <v>395</v>
      </c>
      <c r="BT68" s="57" t="s">
        <v>395</v>
      </c>
      <c r="BU68" s="57" t="s">
        <v>395</v>
      </c>
      <c r="BV68" s="57" t="s">
        <v>395</v>
      </c>
      <c r="BW68" s="57" t="s">
        <v>395</v>
      </c>
      <c r="BX68" s="57" t="s">
        <v>395</v>
      </c>
      <c r="BY68" s="57" t="s">
        <v>395</v>
      </c>
      <c r="BZ68" s="57" t="s">
        <v>395</v>
      </c>
      <c r="CA68" s="57" t="s">
        <v>395</v>
      </c>
      <c r="CB68" s="57" t="s">
        <v>395</v>
      </c>
      <c r="CC68" s="57" t="s">
        <v>395</v>
      </c>
      <c r="CD68" s="57" t="s">
        <v>395</v>
      </c>
      <c r="CE68" s="57" t="s">
        <v>395</v>
      </c>
      <c r="CF68" s="57" t="s">
        <v>395</v>
      </c>
      <c r="CG68" s="57" t="s">
        <v>395</v>
      </c>
      <c r="CH68" s="57" t="s">
        <v>395</v>
      </c>
      <c r="CI68" s="57" t="s">
        <v>395</v>
      </c>
      <c r="CJ68" s="57" t="s">
        <v>395</v>
      </c>
      <c r="CK68" s="57" t="s">
        <v>395</v>
      </c>
      <c r="CL68" s="57" t="s">
        <v>395</v>
      </c>
      <c r="CM68" s="57" t="s">
        <v>395</v>
      </c>
      <c r="CN68" s="57" t="s">
        <v>395</v>
      </c>
      <c r="CO68" s="57" t="s">
        <v>395</v>
      </c>
      <c r="CP68" s="57" t="s">
        <v>395</v>
      </c>
      <c r="CQ68" s="57" t="s">
        <v>395</v>
      </c>
      <c r="CR68" s="57" t="s">
        <v>395</v>
      </c>
      <c r="CS68" s="57" t="s">
        <v>395</v>
      </c>
      <c r="CT68" s="57" t="s">
        <v>395</v>
      </c>
      <c r="CU68" s="57" t="s">
        <v>395</v>
      </c>
      <c r="CV68" s="57" t="s">
        <v>395</v>
      </c>
      <c r="CW68" s="57" t="s">
        <v>395</v>
      </c>
      <c r="CX68" s="57" t="s">
        <v>395</v>
      </c>
      <c r="CY68" s="59" t="s">
        <v>395</v>
      </c>
      <c r="CZ68" s="64"/>
    </row>
    <row r="69" spans="1:112" x14ac:dyDescent="0.3">
      <c r="A69" s="98" t="s">
        <v>7</v>
      </c>
      <c r="B69" s="98" t="s">
        <v>7</v>
      </c>
      <c r="C69" s="132" t="s">
        <v>20</v>
      </c>
      <c r="D69" s="132"/>
      <c r="E69" s="98"/>
      <c r="F69" s="98"/>
      <c r="G69" s="245">
        <v>44438</v>
      </c>
      <c r="H69" s="1">
        <v>2021</v>
      </c>
      <c r="I69" s="75" t="s">
        <v>33</v>
      </c>
      <c r="J69" s="75">
        <v>10</v>
      </c>
      <c r="K69" s="155">
        <v>0.68</v>
      </c>
      <c r="L69" s="5" t="s">
        <v>394</v>
      </c>
      <c r="M69" s="70">
        <v>5.5391373237081168E-2</v>
      </c>
      <c r="N69" s="67">
        <v>0.32046993040674343</v>
      </c>
      <c r="O69" s="67">
        <v>0.79731127826721071</v>
      </c>
      <c r="P69" s="67">
        <v>0.81743822258409171</v>
      </c>
      <c r="Q69" s="68">
        <v>1.8820679694486768</v>
      </c>
      <c r="R69" s="68">
        <v>1.6658696724531601</v>
      </c>
      <c r="S69" s="67">
        <v>0.5953648059814094</v>
      </c>
      <c r="T69" s="68">
        <f t="shared" si="9"/>
        <v>6.1339132523783739</v>
      </c>
      <c r="U69" s="5">
        <f t="shared" si="10"/>
        <v>39.091728160252067</v>
      </c>
      <c r="V69" s="70" t="s">
        <v>76</v>
      </c>
      <c r="W69" s="67">
        <v>0.12</v>
      </c>
      <c r="X69" s="70">
        <v>2.1000000000000001E-2</v>
      </c>
      <c r="Y69" s="70">
        <v>6.2E-2</v>
      </c>
      <c r="Z69" s="80" t="s">
        <v>76</v>
      </c>
      <c r="AA69" s="70">
        <v>1.6E-2</v>
      </c>
      <c r="AB69" s="70">
        <v>1.2E-2</v>
      </c>
      <c r="AC69" s="70" t="s">
        <v>134</v>
      </c>
      <c r="AD69" s="67">
        <v>0.23099999999999998</v>
      </c>
      <c r="AE69" s="5">
        <f t="shared" ref="AE69:AE82" si="12">SUM(V69,W69,Y69,X69,AB69,AA69)</f>
        <v>0.23099999999999998</v>
      </c>
      <c r="AF69" s="71">
        <v>7.6761867628423824E-2</v>
      </c>
      <c r="AG69" s="250">
        <f t="shared" si="11"/>
        <v>0.56442549726782221</v>
      </c>
      <c r="AH69" s="84">
        <v>14.246413076027046</v>
      </c>
      <c r="AI69" s="85" t="s">
        <v>133</v>
      </c>
      <c r="AJ69" s="85" t="s">
        <v>395</v>
      </c>
      <c r="AK69" s="85" t="s">
        <v>395</v>
      </c>
      <c r="AL69" s="85" t="s">
        <v>65</v>
      </c>
      <c r="AM69" s="85">
        <v>0.12445238338716696</v>
      </c>
      <c r="AN69" s="85">
        <v>3.0022469472718574</v>
      </c>
      <c r="AO69" s="85">
        <v>0.71286404216296095</v>
      </c>
      <c r="AP69" s="16" t="s">
        <v>395</v>
      </c>
      <c r="AQ69" s="86">
        <v>1.4104732794085018</v>
      </c>
      <c r="AR69" s="85" t="s">
        <v>69</v>
      </c>
      <c r="AS69" s="86">
        <v>3.3684109753727403</v>
      </c>
      <c r="AT69" s="85">
        <v>0.41319329070514288</v>
      </c>
      <c r="AU69" s="85">
        <v>0.86394001001007326</v>
      </c>
      <c r="AV69" s="85" t="s">
        <v>133</v>
      </c>
      <c r="AW69" s="85">
        <v>0.12</v>
      </c>
      <c r="AX69" s="85" t="s">
        <v>395</v>
      </c>
      <c r="AY69" s="85" t="s">
        <v>395</v>
      </c>
      <c r="AZ69" s="85" t="s">
        <v>395</v>
      </c>
      <c r="BA69" s="85" t="s">
        <v>395</v>
      </c>
      <c r="BB69" s="85" t="s">
        <v>395</v>
      </c>
      <c r="BC69" s="5" t="s">
        <v>395</v>
      </c>
      <c r="BD69" s="5" t="s">
        <v>395</v>
      </c>
      <c r="BE69" s="5" t="s">
        <v>395</v>
      </c>
      <c r="BF69" s="5" t="s">
        <v>395</v>
      </c>
      <c r="BG69" s="5" t="s">
        <v>395</v>
      </c>
      <c r="BH69" s="5" t="s">
        <v>395</v>
      </c>
      <c r="BI69" s="5" t="s">
        <v>395</v>
      </c>
      <c r="BJ69" s="5" t="s">
        <v>395</v>
      </c>
      <c r="BK69" s="5" t="s">
        <v>395</v>
      </c>
      <c r="BL69" s="5" t="s">
        <v>395</v>
      </c>
      <c r="BM69" s="5" t="s">
        <v>395</v>
      </c>
      <c r="BN69" s="1">
        <v>110</v>
      </c>
      <c r="BO69" s="57" t="s">
        <v>395</v>
      </c>
      <c r="BP69" s="57" t="s">
        <v>395</v>
      </c>
      <c r="BQ69" s="57" t="s">
        <v>395</v>
      </c>
      <c r="BR69" s="57" t="s">
        <v>395</v>
      </c>
      <c r="BS69" s="57" t="s">
        <v>395</v>
      </c>
      <c r="BT69" s="57" t="s">
        <v>395</v>
      </c>
      <c r="BU69" s="57" t="s">
        <v>395</v>
      </c>
      <c r="BV69" s="57" t="s">
        <v>395</v>
      </c>
      <c r="BW69" s="57" t="s">
        <v>395</v>
      </c>
      <c r="BX69" s="57" t="s">
        <v>395</v>
      </c>
      <c r="BY69" s="57" t="s">
        <v>395</v>
      </c>
      <c r="BZ69" s="57" t="s">
        <v>395</v>
      </c>
      <c r="CA69" s="57" t="s">
        <v>395</v>
      </c>
      <c r="CB69" s="57" t="s">
        <v>395</v>
      </c>
      <c r="CC69" s="57" t="s">
        <v>395</v>
      </c>
      <c r="CD69" s="57" t="s">
        <v>395</v>
      </c>
      <c r="CE69" s="57" t="s">
        <v>395</v>
      </c>
      <c r="CF69" s="57" t="s">
        <v>395</v>
      </c>
      <c r="CG69" s="57" t="s">
        <v>395</v>
      </c>
      <c r="CH69" s="57" t="s">
        <v>395</v>
      </c>
      <c r="CI69" s="57" t="s">
        <v>395</v>
      </c>
      <c r="CJ69" s="57" t="s">
        <v>395</v>
      </c>
      <c r="CK69" s="57" t="s">
        <v>395</v>
      </c>
      <c r="CL69" s="57" t="s">
        <v>395</v>
      </c>
      <c r="CM69" s="57" t="s">
        <v>395</v>
      </c>
      <c r="CN69" s="57" t="s">
        <v>395</v>
      </c>
      <c r="CO69" s="57" t="s">
        <v>395</v>
      </c>
      <c r="CP69" s="57" t="s">
        <v>395</v>
      </c>
      <c r="CQ69" s="57" t="s">
        <v>395</v>
      </c>
      <c r="CR69" s="57" t="s">
        <v>395</v>
      </c>
      <c r="CS69" s="57" t="s">
        <v>395</v>
      </c>
      <c r="CT69" s="57" t="s">
        <v>395</v>
      </c>
      <c r="CU69" s="57" t="s">
        <v>395</v>
      </c>
      <c r="CV69" s="57" t="s">
        <v>395</v>
      </c>
      <c r="CW69" s="57" t="s">
        <v>395</v>
      </c>
      <c r="CX69" s="57" t="s">
        <v>395</v>
      </c>
      <c r="CY69" s="59" t="s">
        <v>395</v>
      </c>
      <c r="CZ69" s="64"/>
    </row>
    <row r="70" spans="1:112" x14ac:dyDescent="0.3">
      <c r="A70" s="98" t="s">
        <v>79</v>
      </c>
      <c r="B70" s="98" t="s">
        <v>79</v>
      </c>
      <c r="C70" s="132" t="s">
        <v>20</v>
      </c>
      <c r="D70" s="132"/>
      <c r="E70" s="98"/>
      <c r="F70" s="98"/>
      <c r="G70" s="245">
        <v>44442</v>
      </c>
      <c r="H70" s="1">
        <v>2021</v>
      </c>
      <c r="I70" s="75" t="s">
        <v>33</v>
      </c>
      <c r="J70" s="75">
        <v>10</v>
      </c>
      <c r="K70" s="155">
        <v>0.68</v>
      </c>
      <c r="L70" s="5" t="s">
        <v>394</v>
      </c>
      <c r="M70" s="79">
        <v>0.17915292662819454</v>
      </c>
      <c r="N70" s="67">
        <v>0.52970939818631491</v>
      </c>
      <c r="O70" s="68">
        <v>2.112407254740313</v>
      </c>
      <c r="P70" s="68">
        <v>1.7389633140972793</v>
      </c>
      <c r="Q70" s="68">
        <v>4.1768446001648805</v>
      </c>
      <c r="R70" s="68">
        <v>3.6832749381698267</v>
      </c>
      <c r="S70" s="68">
        <v>1.2569661995053585</v>
      </c>
      <c r="T70" s="69">
        <f t="shared" si="9"/>
        <v>13.677318631492168</v>
      </c>
      <c r="U70" s="5">
        <f t="shared" si="10"/>
        <v>87.782024392609472</v>
      </c>
      <c r="V70" s="72" t="s">
        <v>40</v>
      </c>
      <c r="W70" s="70">
        <v>3.6999999999999998E-2</v>
      </c>
      <c r="X70" s="70">
        <v>6.7000000000000002E-3</v>
      </c>
      <c r="Y70" s="70">
        <v>1.9E-2</v>
      </c>
      <c r="Z70" s="80" t="s">
        <v>40</v>
      </c>
      <c r="AA70" s="72" t="s">
        <v>40</v>
      </c>
      <c r="AB70" s="72" t="s">
        <v>40</v>
      </c>
      <c r="AC70" s="70" t="s">
        <v>135</v>
      </c>
      <c r="AD70" s="67">
        <v>6.2699999999999992E-2</v>
      </c>
      <c r="AE70" s="5">
        <f t="shared" si="12"/>
        <v>6.2699999999999992E-2</v>
      </c>
      <c r="AF70" s="71">
        <v>1.1438582028029678E-2</v>
      </c>
      <c r="AG70" s="250">
        <f t="shared" si="11"/>
        <v>8.4107220794335871E-2</v>
      </c>
      <c r="AH70" s="84">
        <v>13.107063476831913</v>
      </c>
      <c r="AI70" s="85" t="s">
        <v>133</v>
      </c>
      <c r="AJ70" s="85" t="s">
        <v>395</v>
      </c>
      <c r="AK70" s="85" t="s">
        <v>395</v>
      </c>
      <c r="AL70" s="85" t="s">
        <v>65</v>
      </c>
      <c r="AM70" s="85" t="s">
        <v>65</v>
      </c>
      <c r="AN70" s="85">
        <v>0.57919280547925467</v>
      </c>
      <c r="AO70" s="85" t="s">
        <v>133</v>
      </c>
      <c r="AP70" s="16" t="s">
        <v>395</v>
      </c>
      <c r="AQ70" s="85">
        <v>0.49797376722762643</v>
      </c>
      <c r="AR70" s="85" t="s">
        <v>69</v>
      </c>
      <c r="AS70" s="86">
        <v>1.4763644160299385</v>
      </c>
      <c r="AT70" s="85">
        <v>0.22776001871199125</v>
      </c>
      <c r="AU70" s="85">
        <v>0.3341709748227758</v>
      </c>
      <c r="AV70" s="85" t="s">
        <v>133</v>
      </c>
      <c r="AW70" s="84" t="s">
        <v>154</v>
      </c>
      <c r="AX70" s="84" t="s">
        <v>395</v>
      </c>
      <c r="AY70" s="84" t="s">
        <v>395</v>
      </c>
      <c r="AZ70" s="84" t="s">
        <v>395</v>
      </c>
      <c r="BA70" s="84" t="s">
        <v>395</v>
      </c>
      <c r="BB70" s="84" t="s">
        <v>395</v>
      </c>
      <c r="BC70" s="5" t="s">
        <v>395</v>
      </c>
      <c r="BD70" s="5" t="s">
        <v>395</v>
      </c>
      <c r="BE70" s="5" t="s">
        <v>395</v>
      </c>
      <c r="BF70" s="5" t="s">
        <v>395</v>
      </c>
      <c r="BG70" s="5" t="s">
        <v>395</v>
      </c>
      <c r="BH70" s="5" t="s">
        <v>395</v>
      </c>
      <c r="BI70" s="5" t="s">
        <v>395</v>
      </c>
      <c r="BJ70" s="5" t="s">
        <v>395</v>
      </c>
      <c r="BK70" s="5" t="s">
        <v>395</v>
      </c>
      <c r="BL70" s="5" t="s">
        <v>395</v>
      </c>
      <c r="BM70" s="5" t="s">
        <v>395</v>
      </c>
      <c r="BN70" s="1">
        <v>170</v>
      </c>
      <c r="BO70" s="57" t="s">
        <v>395</v>
      </c>
      <c r="BP70" s="57" t="s">
        <v>395</v>
      </c>
      <c r="BQ70" s="57" t="s">
        <v>395</v>
      </c>
      <c r="BR70" s="57" t="s">
        <v>395</v>
      </c>
      <c r="BS70" s="57" t="s">
        <v>395</v>
      </c>
      <c r="BT70" s="57" t="s">
        <v>395</v>
      </c>
      <c r="BU70" s="57" t="s">
        <v>395</v>
      </c>
      <c r="BV70" s="57" t="s">
        <v>395</v>
      </c>
      <c r="BW70" s="57" t="s">
        <v>395</v>
      </c>
      <c r="BX70" s="57" t="s">
        <v>395</v>
      </c>
      <c r="BY70" s="57" t="s">
        <v>395</v>
      </c>
      <c r="BZ70" s="57" t="s">
        <v>395</v>
      </c>
      <c r="CA70" s="57" t="s">
        <v>395</v>
      </c>
      <c r="CB70" s="57" t="s">
        <v>395</v>
      </c>
      <c r="CC70" s="57" t="s">
        <v>395</v>
      </c>
      <c r="CD70" s="57" t="s">
        <v>395</v>
      </c>
      <c r="CE70" s="57" t="s">
        <v>395</v>
      </c>
      <c r="CF70" s="57" t="s">
        <v>395</v>
      </c>
      <c r="CG70" s="57" t="s">
        <v>395</v>
      </c>
      <c r="CH70" s="57" t="s">
        <v>395</v>
      </c>
      <c r="CI70" s="57" t="s">
        <v>395</v>
      </c>
      <c r="CJ70" s="57" t="s">
        <v>395</v>
      </c>
      <c r="CK70" s="57" t="s">
        <v>395</v>
      </c>
      <c r="CL70" s="57" t="s">
        <v>395</v>
      </c>
      <c r="CM70" s="57" t="s">
        <v>395</v>
      </c>
      <c r="CN70" s="57" t="s">
        <v>395</v>
      </c>
      <c r="CO70" s="57" t="s">
        <v>395</v>
      </c>
      <c r="CP70" s="57" t="s">
        <v>395</v>
      </c>
      <c r="CQ70" s="57" t="s">
        <v>395</v>
      </c>
      <c r="CR70" s="57" t="s">
        <v>395</v>
      </c>
      <c r="CS70" s="57" t="s">
        <v>395</v>
      </c>
      <c r="CT70" s="57" t="s">
        <v>395</v>
      </c>
      <c r="CU70" s="57" t="s">
        <v>395</v>
      </c>
      <c r="CV70" s="57" t="s">
        <v>395</v>
      </c>
      <c r="CW70" s="57" t="s">
        <v>395</v>
      </c>
      <c r="CX70" s="57" t="s">
        <v>395</v>
      </c>
      <c r="CY70" s="59" t="s">
        <v>395</v>
      </c>
      <c r="CZ70" s="64"/>
    </row>
    <row r="71" spans="1:112" x14ac:dyDescent="0.3">
      <c r="A71" s="98" t="s">
        <v>5</v>
      </c>
      <c r="B71" s="98" t="s">
        <v>5</v>
      </c>
      <c r="C71" s="132" t="s">
        <v>20</v>
      </c>
      <c r="D71" s="132"/>
      <c r="E71" s="98"/>
      <c r="F71" s="98"/>
      <c r="G71" s="245">
        <v>44433</v>
      </c>
      <c r="H71" s="1">
        <v>2021</v>
      </c>
      <c r="I71" s="75" t="s">
        <v>33</v>
      </c>
      <c r="J71" s="75">
        <v>10</v>
      </c>
      <c r="K71" s="155">
        <v>0.56000000000000005</v>
      </c>
      <c r="L71" s="5" t="s">
        <v>394</v>
      </c>
      <c r="M71" s="79">
        <v>0.95105474198047435</v>
      </c>
      <c r="N71" s="68">
        <v>3.4751307531380755</v>
      </c>
      <c r="O71" s="69">
        <v>13.296565550906555</v>
      </c>
      <c r="P71" s="69">
        <v>11.685407949790797</v>
      </c>
      <c r="Q71" s="69">
        <v>21.122358786610878</v>
      </c>
      <c r="R71" s="69">
        <v>19.618244421199442</v>
      </c>
      <c r="S71" s="68">
        <v>4.9528591352859141</v>
      </c>
      <c r="T71" s="69">
        <f t="shared" si="9"/>
        <v>75.101621338912153</v>
      </c>
      <c r="U71" s="5">
        <f t="shared" si="10"/>
        <v>566.21619097429755</v>
      </c>
      <c r="V71" s="70">
        <v>7.4999999999999997E-3</v>
      </c>
      <c r="W71" s="67">
        <v>0.28000000000000003</v>
      </c>
      <c r="X71" s="67">
        <v>0.11</v>
      </c>
      <c r="Y71" s="67">
        <v>0.22</v>
      </c>
      <c r="Z71" s="80" t="s">
        <v>68</v>
      </c>
      <c r="AA71" s="70">
        <v>6.0999999999999999E-2</v>
      </c>
      <c r="AB71" s="70">
        <v>4.3999999999999997E-2</v>
      </c>
      <c r="AC71" s="70" t="s">
        <v>136</v>
      </c>
      <c r="AD71" s="67">
        <v>0.72250000000000014</v>
      </c>
      <c r="AE71" s="5">
        <f t="shared" si="12"/>
        <v>0.72250000000000014</v>
      </c>
      <c r="AF71" s="73">
        <v>3.7569735006973505E-2</v>
      </c>
      <c r="AG71" s="250">
        <f t="shared" si="11"/>
        <v>0.33544406256226339</v>
      </c>
      <c r="AH71" s="84">
        <v>11.81924142967455</v>
      </c>
      <c r="AI71" s="85" t="s">
        <v>133</v>
      </c>
      <c r="AJ71" s="85" t="s">
        <v>395</v>
      </c>
      <c r="AK71" s="85" t="s">
        <v>395</v>
      </c>
      <c r="AL71" s="85" t="s">
        <v>65</v>
      </c>
      <c r="AM71" s="85" t="s">
        <v>65</v>
      </c>
      <c r="AN71" s="85">
        <v>0.73437460678250577</v>
      </c>
      <c r="AO71" s="85">
        <v>0.30796650541257242</v>
      </c>
      <c r="AP71" s="16" t="s">
        <v>395</v>
      </c>
      <c r="AQ71" s="85">
        <v>0.78476161660861277</v>
      </c>
      <c r="AR71" s="85" t="s">
        <v>69</v>
      </c>
      <c r="AS71" s="86">
        <v>2.4288098989675486</v>
      </c>
      <c r="AT71" s="86">
        <v>1.3833482797887044</v>
      </c>
      <c r="AU71" s="86">
        <v>1.0972253232624951</v>
      </c>
      <c r="AV71" s="85" t="s">
        <v>133</v>
      </c>
      <c r="AW71" s="84" t="s">
        <v>154</v>
      </c>
      <c r="AX71" s="84" t="s">
        <v>395</v>
      </c>
      <c r="AY71" s="84" t="s">
        <v>395</v>
      </c>
      <c r="AZ71" s="84" t="s">
        <v>395</v>
      </c>
      <c r="BA71" s="84" t="s">
        <v>395</v>
      </c>
      <c r="BB71" s="84" t="s">
        <v>395</v>
      </c>
      <c r="BC71" s="5" t="s">
        <v>395</v>
      </c>
      <c r="BD71" s="5" t="s">
        <v>395</v>
      </c>
      <c r="BE71" s="5" t="s">
        <v>395</v>
      </c>
      <c r="BF71" s="5" t="s">
        <v>395</v>
      </c>
      <c r="BG71" s="5" t="s">
        <v>395</v>
      </c>
      <c r="BH71" s="5" t="s">
        <v>395</v>
      </c>
      <c r="BI71" s="5" t="s">
        <v>395</v>
      </c>
      <c r="BJ71" s="5" t="s">
        <v>395</v>
      </c>
      <c r="BK71" s="5" t="s">
        <v>395</v>
      </c>
      <c r="BL71" s="5" t="s">
        <v>395</v>
      </c>
      <c r="BM71" s="5" t="s">
        <v>395</v>
      </c>
      <c r="BN71" s="1">
        <v>75</v>
      </c>
      <c r="BO71" s="57" t="s">
        <v>395</v>
      </c>
      <c r="BP71" s="57" t="s">
        <v>395</v>
      </c>
      <c r="BQ71" s="57" t="s">
        <v>395</v>
      </c>
      <c r="BR71" s="57" t="s">
        <v>395</v>
      </c>
      <c r="BS71" s="57" t="s">
        <v>395</v>
      </c>
      <c r="BT71" s="57" t="s">
        <v>395</v>
      </c>
      <c r="BU71" s="57" t="s">
        <v>395</v>
      </c>
      <c r="BV71" s="57" t="s">
        <v>395</v>
      </c>
      <c r="BW71" s="57" t="s">
        <v>395</v>
      </c>
      <c r="BX71" s="57" t="s">
        <v>395</v>
      </c>
      <c r="BY71" s="57" t="s">
        <v>395</v>
      </c>
      <c r="BZ71" s="57" t="s">
        <v>395</v>
      </c>
      <c r="CA71" s="57" t="s">
        <v>395</v>
      </c>
      <c r="CB71" s="57" t="s">
        <v>395</v>
      </c>
      <c r="CC71" s="57" t="s">
        <v>395</v>
      </c>
      <c r="CD71" s="57" t="s">
        <v>395</v>
      </c>
      <c r="CE71" s="57" t="s">
        <v>395</v>
      </c>
      <c r="CF71" s="57" t="s">
        <v>395</v>
      </c>
      <c r="CG71" s="57" t="s">
        <v>395</v>
      </c>
      <c r="CH71" s="57" t="s">
        <v>395</v>
      </c>
      <c r="CI71" s="57" t="s">
        <v>395</v>
      </c>
      <c r="CJ71" s="57" t="s">
        <v>395</v>
      </c>
      <c r="CK71" s="57" t="s">
        <v>395</v>
      </c>
      <c r="CL71" s="57" t="s">
        <v>395</v>
      </c>
      <c r="CM71" s="57" t="s">
        <v>395</v>
      </c>
      <c r="CN71" s="57" t="s">
        <v>395</v>
      </c>
      <c r="CO71" s="57" t="s">
        <v>395</v>
      </c>
      <c r="CP71" s="57" t="s">
        <v>395</v>
      </c>
      <c r="CQ71" s="57" t="s">
        <v>395</v>
      </c>
      <c r="CR71" s="57" t="s">
        <v>395</v>
      </c>
      <c r="CS71" s="57" t="s">
        <v>395</v>
      </c>
      <c r="CT71" s="57" t="s">
        <v>395</v>
      </c>
      <c r="CU71" s="57" t="s">
        <v>395</v>
      </c>
      <c r="CV71" s="57" t="s">
        <v>395</v>
      </c>
      <c r="CW71" s="57" t="s">
        <v>395</v>
      </c>
      <c r="CX71" s="57" t="s">
        <v>395</v>
      </c>
      <c r="CY71" s="59" t="s">
        <v>395</v>
      </c>
      <c r="CZ71" s="64"/>
    </row>
    <row r="72" spans="1:112" x14ac:dyDescent="0.3">
      <c r="A72" s="98" t="s">
        <v>26</v>
      </c>
      <c r="B72" s="98" t="s">
        <v>26</v>
      </c>
      <c r="C72" s="132" t="s">
        <v>20</v>
      </c>
      <c r="D72" s="132"/>
      <c r="E72" s="98"/>
      <c r="F72" s="98"/>
      <c r="G72" s="245">
        <v>44448</v>
      </c>
      <c r="H72" s="1">
        <v>2021</v>
      </c>
      <c r="I72" s="75" t="s">
        <v>33</v>
      </c>
      <c r="J72" s="75">
        <v>10</v>
      </c>
      <c r="K72" s="155">
        <v>0.6</v>
      </c>
      <c r="L72" s="5" t="s">
        <v>394</v>
      </c>
      <c r="M72" s="73">
        <v>2.0635664729045565E-2</v>
      </c>
      <c r="N72" s="70">
        <v>3.8683667729233075E-2</v>
      </c>
      <c r="O72" s="67">
        <v>0.23139883742733922</v>
      </c>
      <c r="P72" s="67">
        <v>0.25129383086442902</v>
      </c>
      <c r="Q72" s="67">
        <v>0.74805925370335635</v>
      </c>
      <c r="R72" s="67">
        <v>0.6914307144196512</v>
      </c>
      <c r="S72" s="67">
        <v>0.28041440090005626</v>
      </c>
      <c r="T72" s="68">
        <f t="shared" si="9"/>
        <v>2.2619163697731106</v>
      </c>
      <c r="U72" s="5">
        <f t="shared" si="10"/>
        <v>16.755187824239016</v>
      </c>
      <c r="V72" s="70" t="s">
        <v>77</v>
      </c>
      <c r="W72" s="72">
        <v>1.0999999999999999E-2</v>
      </c>
      <c r="X72" s="72" t="s">
        <v>66</v>
      </c>
      <c r="Y72" s="70">
        <v>8.9331429589990918E-3</v>
      </c>
      <c r="Z72" s="80" t="s">
        <v>77</v>
      </c>
      <c r="AA72" s="72" t="s">
        <v>77</v>
      </c>
      <c r="AB72" s="72" t="s">
        <v>77</v>
      </c>
      <c r="AC72" s="70">
        <v>8.3000000000000004E-2</v>
      </c>
      <c r="AD72" s="70">
        <v>1.9933142958999089E-2</v>
      </c>
      <c r="AE72" s="5">
        <f t="shared" si="12"/>
        <v>1.9933142958999089E-2</v>
      </c>
      <c r="AF72" s="71" t="s">
        <v>155</v>
      </c>
      <c r="AG72" s="250" t="s">
        <v>395</v>
      </c>
      <c r="AH72" s="86">
        <v>5.1777710567330599</v>
      </c>
      <c r="AI72" s="85" t="s">
        <v>133</v>
      </c>
      <c r="AJ72" s="85" t="s">
        <v>395</v>
      </c>
      <c r="AK72" s="85" t="s">
        <v>395</v>
      </c>
      <c r="AL72" s="85" t="s">
        <v>65</v>
      </c>
      <c r="AM72" s="85" t="s">
        <v>65</v>
      </c>
      <c r="AN72" s="85">
        <v>0.39766198857950485</v>
      </c>
      <c r="AO72" s="85" t="s">
        <v>133</v>
      </c>
      <c r="AP72" s="16" t="s">
        <v>395</v>
      </c>
      <c r="AQ72" s="85">
        <v>0.16087103779411474</v>
      </c>
      <c r="AR72" s="85" t="s">
        <v>69</v>
      </c>
      <c r="AS72" s="85">
        <v>0.84650084409120563</v>
      </c>
      <c r="AT72" s="85">
        <v>0.26578155308461154</v>
      </c>
      <c r="AU72" s="85" t="s">
        <v>133</v>
      </c>
      <c r="AV72" s="85" t="s">
        <v>133</v>
      </c>
      <c r="AW72" s="84" t="s">
        <v>154</v>
      </c>
      <c r="AX72" s="84" t="s">
        <v>395</v>
      </c>
      <c r="AY72" s="84" t="s">
        <v>395</v>
      </c>
      <c r="AZ72" s="84" t="s">
        <v>395</v>
      </c>
      <c r="BA72" s="84" t="s">
        <v>395</v>
      </c>
      <c r="BB72" s="84" t="s">
        <v>395</v>
      </c>
      <c r="BC72" s="5" t="s">
        <v>395</v>
      </c>
      <c r="BD72" s="5" t="s">
        <v>395</v>
      </c>
      <c r="BE72" s="5" t="s">
        <v>395</v>
      </c>
      <c r="BF72" s="5" t="s">
        <v>395</v>
      </c>
      <c r="BG72" s="5" t="s">
        <v>395</v>
      </c>
      <c r="BH72" s="5" t="s">
        <v>395</v>
      </c>
      <c r="BI72" s="5" t="s">
        <v>395</v>
      </c>
      <c r="BJ72" s="5" t="s">
        <v>395</v>
      </c>
      <c r="BK72" s="5" t="s">
        <v>395</v>
      </c>
      <c r="BL72" s="5" t="s">
        <v>395</v>
      </c>
      <c r="BM72" s="5" t="s">
        <v>395</v>
      </c>
      <c r="BN72" s="1">
        <v>52</v>
      </c>
      <c r="BO72" s="57" t="s">
        <v>395</v>
      </c>
      <c r="BP72" s="57" t="s">
        <v>395</v>
      </c>
      <c r="BQ72" s="57" t="s">
        <v>395</v>
      </c>
      <c r="BR72" s="57" t="s">
        <v>395</v>
      </c>
      <c r="BS72" s="57" t="s">
        <v>395</v>
      </c>
      <c r="BT72" s="57" t="s">
        <v>395</v>
      </c>
      <c r="BU72" s="57" t="s">
        <v>395</v>
      </c>
      <c r="BV72" s="57" t="s">
        <v>395</v>
      </c>
      <c r="BW72" s="57" t="s">
        <v>395</v>
      </c>
      <c r="BX72" s="57" t="s">
        <v>395</v>
      </c>
      <c r="BY72" s="57" t="s">
        <v>395</v>
      </c>
      <c r="BZ72" s="57" t="s">
        <v>395</v>
      </c>
      <c r="CA72" s="57" t="s">
        <v>395</v>
      </c>
      <c r="CB72" s="57" t="s">
        <v>395</v>
      </c>
      <c r="CC72" s="57" t="s">
        <v>395</v>
      </c>
      <c r="CD72" s="57" t="s">
        <v>395</v>
      </c>
      <c r="CE72" s="57" t="s">
        <v>395</v>
      </c>
      <c r="CF72" s="57" t="s">
        <v>395</v>
      </c>
      <c r="CG72" s="57" t="s">
        <v>395</v>
      </c>
      <c r="CH72" s="57" t="s">
        <v>395</v>
      </c>
      <c r="CI72" s="57" t="s">
        <v>395</v>
      </c>
      <c r="CJ72" s="57" t="s">
        <v>395</v>
      </c>
      <c r="CK72" s="57" t="s">
        <v>395</v>
      </c>
      <c r="CL72" s="57" t="s">
        <v>395</v>
      </c>
      <c r="CM72" s="57" t="s">
        <v>395</v>
      </c>
      <c r="CN72" s="57" t="s">
        <v>395</v>
      </c>
      <c r="CO72" s="57" t="s">
        <v>395</v>
      </c>
      <c r="CP72" s="57" t="s">
        <v>395</v>
      </c>
      <c r="CQ72" s="57" t="s">
        <v>395</v>
      </c>
      <c r="CR72" s="57" t="s">
        <v>395</v>
      </c>
      <c r="CS72" s="57" t="s">
        <v>395</v>
      </c>
      <c r="CT72" s="57" t="s">
        <v>395</v>
      </c>
      <c r="CU72" s="57" t="s">
        <v>395</v>
      </c>
      <c r="CV72" s="57" t="s">
        <v>395</v>
      </c>
      <c r="CW72" s="57" t="s">
        <v>395</v>
      </c>
      <c r="CX72" s="57" t="s">
        <v>395</v>
      </c>
      <c r="CY72" s="59" t="s">
        <v>395</v>
      </c>
      <c r="CZ72" s="64"/>
    </row>
    <row r="73" spans="1:112" x14ac:dyDescent="0.3">
      <c r="A73" s="98" t="s">
        <v>81</v>
      </c>
      <c r="B73" s="98" t="s">
        <v>81</v>
      </c>
      <c r="C73" s="132" t="s">
        <v>20</v>
      </c>
      <c r="D73" s="132"/>
      <c r="E73" s="98"/>
      <c r="F73" s="98"/>
      <c r="G73" s="245">
        <v>44439</v>
      </c>
      <c r="H73" s="1">
        <v>2021</v>
      </c>
      <c r="I73" s="75" t="s">
        <v>33</v>
      </c>
      <c r="J73" s="75">
        <v>10</v>
      </c>
      <c r="K73" s="155">
        <v>0.68</v>
      </c>
      <c r="L73" s="5" t="s">
        <v>394</v>
      </c>
      <c r="M73" s="73">
        <v>2.0635664729045565E-2</v>
      </c>
      <c r="N73" s="67">
        <v>0.10932939220395343</v>
      </c>
      <c r="O73" s="67">
        <v>0.51013301311657122</v>
      </c>
      <c r="P73" s="67">
        <v>0.45878440790689079</v>
      </c>
      <c r="Q73" s="68">
        <v>1.085941252540181</v>
      </c>
      <c r="R73" s="68">
        <v>1.0151764271198964</v>
      </c>
      <c r="S73" s="67">
        <v>0.37951228523923886</v>
      </c>
      <c r="T73" s="68">
        <f t="shared" si="9"/>
        <v>3.5795124428557776</v>
      </c>
      <c r="U73" s="5">
        <f t="shared" si="10"/>
        <v>22.946529668741814</v>
      </c>
      <c r="V73" s="72" t="s">
        <v>77</v>
      </c>
      <c r="W73" s="72">
        <v>9.9000000000000005E-2</v>
      </c>
      <c r="X73" s="70">
        <v>1.7999999999999999E-2</v>
      </c>
      <c r="Y73" s="70">
        <v>8.3684561599219429E-2</v>
      </c>
      <c r="Z73" s="80" t="s">
        <v>77</v>
      </c>
      <c r="AA73" s="70">
        <v>0.02</v>
      </c>
      <c r="AB73" s="70">
        <v>1.4999999999999999E-2</v>
      </c>
      <c r="AC73" s="70" t="s">
        <v>137</v>
      </c>
      <c r="AD73" s="67">
        <v>0.23568456159921941</v>
      </c>
      <c r="AE73" s="5">
        <f t="shared" si="12"/>
        <v>0.23568456159921938</v>
      </c>
      <c r="AF73" s="71">
        <v>4.8401995196748565E-2</v>
      </c>
      <c r="AG73" s="250">
        <f t="shared" si="11"/>
        <v>0.35589702350550412</v>
      </c>
      <c r="AH73" s="86">
        <v>9.7605786971176816</v>
      </c>
      <c r="AI73" s="85" t="s">
        <v>133</v>
      </c>
      <c r="AJ73" s="85" t="s">
        <v>395</v>
      </c>
      <c r="AK73" s="85" t="s">
        <v>395</v>
      </c>
      <c r="AL73" s="85" t="s">
        <v>65</v>
      </c>
      <c r="AM73" s="85" t="s">
        <v>65</v>
      </c>
      <c r="AN73" s="86">
        <v>1.5537340910350843</v>
      </c>
      <c r="AO73" s="86">
        <v>1.4325079960030294</v>
      </c>
      <c r="AP73" s="16" t="s">
        <v>395</v>
      </c>
      <c r="AQ73" s="86">
        <v>1.8769791281527575</v>
      </c>
      <c r="AR73" s="85">
        <v>0.20772673210079659</v>
      </c>
      <c r="AS73" s="86">
        <v>4.7992203181174471</v>
      </c>
      <c r="AT73" s="85">
        <v>0.72341635385927117</v>
      </c>
      <c r="AU73" s="85">
        <v>0.8683205713413904</v>
      </c>
      <c r="AV73" s="85" t="s">
        <v>133</v>
      </c>
      <c r="AW73" s="85">
        <v>0.19653209878070405</v>
      </c>
      <c r="AX73" s="85" t="s">
        <v>395</v>
      </c>
      <c r="AY73" s="85" t="s">
        <v>395</v>
      </c>
      <c r="AZ73" s="85" t="s">
        <v>395</v>
      </c>
      <c r="BA73" s="85" t="s">
        <v>395</v>
      </c>
      <c r="BB73" s="85" t="s">
        <v>395</v>
      </c>
      <c r="BC73" s="5" t="s">
        <v>395</v>
      </c>
      <c r="BD73" s="5" t="s">
        <v>395</v>
      </c>
      <c r="BE73" s="5" t="s">
        <v>395</v>
      </c>
      <c r="BF73" s="5" t="s">
        <v>395</v>
      </c>
      <c r="BG73" s="5" t="s">
        <v>395</v>
      </c>
      <c r="BH73" s="5" t="s">
        <v>395</v>
      </c>
      <c r="BI73" s="5" t="s">
        <v>395</v>
      </c>
      <c r="BJ73" s="5" t="s">
        <v>395</v>
      </c>
      <c r="BK73" s="5" t="s">
        <v>395</v>
      </c>
      <c r="BL73" s="5" t="s">
        <v>395</v>
      </c>
      <c r="BM73" s="5" t="s">
        <v>395</v>
      </c>
      <c r="BN73" s="1">
        <v>50</v>
      </c>
      <c r="BO73" s="57" t="s">
        <v>395</v>
      </c>
      <c r="BP73" s="57" t="s">
        <v>395</v>
      </c>
      <c r="BQ73" s="57" t="s">
        <v>395</v>
      </c>
      <c r="BR73" s="57" t="s">
        <v>395</v>
      </c>
      <c r="BS73" s="57" t="s">
        <v>395</v>
      </c>
      <c r="BT73" s="57" t="s">
        <v>395</v>
      </c>
      <c r="BU73" s="57" t="s">
        <v>395</v>
      </c>
      <c r="BV73" s="57" t="s">
        <v>395</v>
      </c>
      <c r="BW73" s="57" t="s">
        <v>395</v>
      </c>
      <c r="BX73" s="57" t="s">
        <v>395</v>
      </c>
      <c r="BY73" s="57" t="s">
        <v>395</v>
      </c>
      <c r="BZ73" s="57" t="s">
        <v>395</v>
      </c>
      <c r="CA73" s="57" t="s">
        <v>395</v>
      </c>
      <c r="CB73" s="57" t="s">
        <v>395</v>
      </c>
      <c r="CC73" s="57" t="s">
        <v>395</v>
      </c>
      <c r="CD73" s="57" t="s">
        <v>395</v>
      </c>
      <c r="CE73" s="57" t="s">
        <v>395</v>
      </c>
      <c r="CF73" s="57" t="s">
        <v>395</v>
      </c>
      <c r="CG73" s="57" t="s">
        <v>395</v>
      </c>
      <c r="CH73" s="57" t="s">
        <v>395</v>
      </c>
      <c r="CI73" s="57" t="s">
        <v>395</v>
      </c>
      <c r="CJ73" s="57" t="s">
        <v>395</v>
      </c>
      <c r="CK73" s="57" t="s">
        <v>395</v>
      </c>
      <c r="CL73" s="57" t="s">
        <v>395</v>
      </c>
      <c r="CM73" s="57" t="s">
        <v>395</v>
      </c>
      <c r="CN73" s="57" t="s">
        <v>395</v>
      </c>
      <c r="CO73" s="57" t="s">
        <v>395</v>
      </c>
      <c r="CP73" s="57" t="s">
        <v>395</v>
      </c>
      <c r="CQ73" s="57" t="s">
        <v>395</v>
      </c>
      <c r="CR73" s="57" t="s">
        <v>395</v>
      </c>
      <c r="CS73" s="57" t="s">
        <v>395</v>
      </c>
      <c r="CT73" s="57" t="s">
        <v>395</v>
      </c>
      <c r="CU73" s="57" t="s">
        <v>395</v>
      </c>
      <c r="CV73" s="57" t="s">
        <v>395</v>
      </c>
      <c r="CW73" s="57" t="s">
        <v>395</v>
      </c>
      <c r="CX73" s="57" t="s">
        <v>395</v>
      </c>
      <c r="CY73" s="59" t="s">
        <v>395</v>
      </c>
      <c r="CZ73" s="64"/>
    </row>
    <row r="74" spans="1:112" x14ac:dyDescent="0.3">
      <c r="A74" s="98" t="s">
        <v>8</v>
      </c>
      <c r="B74" s="98" t="s">
        <v>8</v>
      </c>
      <c r="C74" s="132" t="s">
        <v>20</v>
      </c>
      <c r="D74" s="132"/>
      <c r="E74" s="98"/>
      <c r="F74" s="98"/>
      <c r="G74" s="245">
        <v>44462</v>
      </c>
      <c r="H74" s="1">
        <v>2021</v>
      </c>
      <c r="I74" s="75" t="s">
        <v>33</v>
      </c>
      <c r="J74" s="75">
        <v>10</v>
      </c>
      <c r="K74" s="155">
        <v>0.66</v>
      </c>
      <c r="L74" s="5" t="s">
        <v>394</v>
      </c>
      <c r="M74" s="79" t="s">
        <v>138</v>
      </c>
      <c r="N74" s="70">
        <v>6.8170303975058466E-2</v>
      </c>
      <c r="O74" s="67">
        <v>0.46497466874512861</v>
      </c>
      <c r="P74" s="67">
        <v>0.38012470771628998</v>
      </c>
      <c r="Q74" s="68">
        <v>1.7067712392829308</v>
      </c>
      <c r="R74" s="68">
        <v>1.384937646141855</v>
      </c>
      <c r="S74" s="67">
        <v>0.67939399844115356</v>
      </c>
      <c r="T74" s="68">
        <f t="shared" si="9"/>
        <v>4.684372564302417</v>
      </c>
      <c r="U74" s="5">
        <f t="shared" si="10"/>
        <v>32.607938307470654</v>
      </c>
      <c r="V74" s="72" t="s">
        <v>76</v>
      </c>
      <c r="W74" s="72">
        <v>4.4999999999999998E-2</v>
      </c>
      <c r="X74" s="70">
        <v>1.0999999999999999E-2</v>
      </c>
      <c r="Y74" s="72">
        <v>2.4E-2</v>
      </c>
      <c r="Z74" s="80" t="s">
        <v>76</v>
      </c>
      <c r="AA74" s="70">
        <v>1.2E-2</v>
      </c>
      <c r="AB74" s="70">
        <v>7.4999999999999997E-3</v>
      </c>
      <c r="AC74" s="70" t="s">
        <v>139</v>
      </c>
      <c r="AD74" s="67">
        <v>9.9499999999999977E-2</v>
      </c>
      <c r="AE74" s="5">
        <f t="shared" si="12"/>
        <v>9.9499999999999991E-2</v>
      </c>
      <c r="AF74" s="71">
        <v>1.3250194855806705E-2</v>
      </c>
      <c r="AG74" s="250">
        <f t="shared" si="11"/>
        <v>0.1003802640591417</v>
      </c>
      <c r="AH74" s="84">
        <v>18.378563705309997</v>
      </c>
      <c r="AI74" s="85" t="s">
        <v>133</v>
      </c>
      <c r="AJ74" s="85" t="s">
        <v>395</v>
      </c>
      <c r="AK74" s="85" t="s">
        <v>395</v>
      </c>
      <c r="AL74" s="85" t="s">
        <v>65</v>
      </c>
      <c r="AM74" s="85">
        <v>0.17546112481523596</v>
      </c>
      <c r="AN74" s="86">
        <v>5.2592321904484436</v>
      </c>
      <c r="AO74" s="85">
        <v>0.81757143231922813</v>
      </c>
      <c r="AP74" s="16" t="s">
        <v>395</v>
      </c>
      <c r="AQ74" s="86">
        <v>1.7791672045909623</v>
      </c>
      <c r="AR74" s="85" t="s">
        <v>69</v>
      </c>
      <c r="AS74" s="86">
        <v>2.1471195045711484</v>
      </c>
      <c r="AT74" s="85">
        <v>0.21911138013079098</v>
      </c>
      <c r="AU74" s="85">
        <v>0.26706215321142529</v>
      </c>
      <c r="AV74" s="85" t="s">
        <v>133</v>
      </c>
      <c r="AW74" s="84" t="s">
        <v>154</v>
      </c>
      <c r="AX74" s="84" t="s">
        <v>395</v>
      </c>
      <c r="AY74" s="84" t="s">
        <v>395</v>
      </c>
      <c r="AZ74" s="84" t="s">
        <v>395</v>
      </c>
      <c r="BA74" s="84" t="s">
        <v>395</v>
      </c>
      <c r="BB74" s="84" t="s">
        <v>395</v>
      </c>
      <c r="BC74" s="5" t="s">
        <v>395</v>
      </c>
      <c r="BD74" s="5" t="s">
        <v>395</v>
      </c>
      <c r="BE74" s="5" t="s">
        <v>395</v>
      </c>
      <c r="BF74" s="5" t="s">
        <v>395</v>
      </c>
      <c r="BG74" s="5" t="s">
        <v>395</v>
      </c>
      <c r="BH74" s="5" t="s">
        <v>395</v>
      </c>
      <c r="BI74" s="5" t="s">
        <v>395</v>
      </c>
      <c r="BJ74" s="5" t="s">
        <v>395</v>
      </c>
      <c r="BK74" s="5" t="s">
        <v>395</v>
      </c>
      <c r="BL74" s="5" t="s">
        <v>395</v>
      </c>
      <c r="BM74" s="5" t="s">
        <v>395</v>
      </c>
      <c r="BN74" s="1">
        <v>83</v>
      </c>
      <c r="BO74" s="57" t="s">
        <v>395</v>
      </c>
      <c r="BP74" s="57" t="s">
        <v>395</v>
      </c>
      <c r="BQ74" s="57" t="s">
        <v>395</v>
      </c>
      <c r="BR74" s="57" t="s">
        <v>395</v>
      </c>
      <c r="BS74" s="57" t="s">
        <v>395</v>
      </c>
      <c r="BT74" s="57" t="s">
        <v>395</v>
      </c>
      <c r="BU74" s="57" t="s">
        <v>395</v>
      </c>
      <c r="BV74" s="57" t="s">
        <v>395</v>
      </c>
      <c r="BW74" s="57" t="s">
        <v>395</v>
      </c>
      <c r="BX74" s="57" t="s">
        <v>395</v>
      </c>
      <c r="BY74" s="57" t="s">
        <v>395</v>
      </c>
      <c r="BZ74" s="57" t="s">
        <v>395</v>
      </c>
      <c r="CA74" s="57" t="s">
        <v>395</v>
      </c>
      <c r="CB74" s="57" t="s">
        <v>395</v>
      </c>
      <c r="CC74" s="57" t="s">
        <v>395</v>
      </c>
      <c r="CD74" s="57" t="s">
        <v>395</v>
      </c>
      <c r="CE74" s="57" t="s">
        <v>395</v>
      </c>
      <c r="CF74" s="57" t="s">
        <v>395</v>
      </c>
      <c r="CG74" s="57" t="s">
        <v>395</v>
      </c>
      <c r="CH74" s="57" t="s">
        <v>395</v>
      </c>
      <c r="CI74" s="57" t="s">
        <v>395</v>
      </c>
      <c r="CJ74" s="57" t="s">
        <v>395</v>
      </c>
      <c r="CK74" s="57" t="s">
        <v>395</v>
      </c>
      <c r="CL74" s="57" t="s">
        <v>395</v>
      </c>
      <c r="CM74" s="57" t="s">
        <v>395</v>
      </c>
      <c r="CN74" s="57" t="s">
        <v>395</v>
      </c>
      <c r="CO74" s="57" t="s">
        <v>395</v>
      </c>
      <c r="CP74" s="57" t="s">
        <v>395</v>
      </c>
      <c r="CQ74" s="57" t="s">
        <v>395</v>
      </c>
      <c r="CR74" s="57" t="s">
        <v>395</v>
      </c>
      <c r="CS74" s="57" t="s">
        <v>395</v>
      </c>
      <c r="CT74" s="57" t="s">
        <v>395</v>
      </c>
      <c r="CU74" s="57" t="s">
        <v>395</v>
      </c>
      <c r="CV74" s="57" t="s">
        <v>395</v>
      </c>
      <c r="CW74" s="57" t="s">
        <v>395</v>
      </c>
      <c r="CX74" s="57" t="s">
        <v>395</v>
      </c>
      <c r="CY74" s="59" t="s">
        <v>395</v>
      </c>
      <c r="CZ74" s="64"/>
    </row>
    <row r="75" spans="1:112" x14ac:dyDescent="0.3">
      <c r="A75" s="98" t="s">
        <v>25</v>
      </c>
      <c r="B75" s="98" t="s">
        <v>25</v>
      </c>
      <c r="C75" s="132" t="s">
        <v>20</v>
      </c>
      <c r="D75" s="132"/>
      <c r="E75" s="98"/>
      <c r="F75" s="98"/>
      <c r="G75" s="245">
        <v>44468</v>
      </c>
      <c r="H75" s="1">
        <v>2021</v>
      </c>
      <c r="I75" s="75" t="s">
        <v>33</v>
      </c>
      <c r="J75" s="75">
        <v>10</v>
      </c>
      <c r="K75" s="155">
        <v>0.79</v>
      </c>
      <c r="L75" s="5" t="s">
        <v>394</v>
      </c>
      <c r="M75" s="79" t="s">
        <v>140</v>
      </c>
      <c r="N75" s="70">
        <v>7.1106008419441258E-2</v>
      </c>
      <c r="O75" s="67">
        <v>0.58649062380405659</v>
      </c>
      <c r="P75" s="67">
        <v>0.44921546115575967</v>
      </c>
      <c r="Q75" s="68">
        <v>1.9432548794489093</v>
      </c>
      <c r="R75" s="68">
        <v>1.6513298890164561</v>
      </c>
      <c r="S75" s="67">
        <v>0.65186567164179099</v>
      </c>
      <c r="T75" s="68">
        <f t="shared" si="9"/>
        <v>5.3532625334864141</v>
      </c>
      <c r="U75" s="5">
        <f t="shared" si="10"/>
        <v>31.038272609687688</v>
      </c>
      <c r="V75" s="72" t="s">
        <v>76</v>
      </c>
      <c r="W75" s="72">
        <v>5.5E-2</v>
      </c>
      <c r="X75" s="72">
        <v>1.2999999999999999E-2</v>
      </c>
      <c r="Y75" s="70">
        <v>3.5999999999999997E-2</v>
      </c>
      <c r="Z75" s="80" t="s">
        <v>76</v>
      </c>
      <c r="AA75" s="70">
        <v>1.4E-2</v>
      </c>
      <c r="AB75" s="70">
        <v>8.2000000000000007E-3</v>
      </c>
      <c r="AC75" s="67" t="s">
        <v>65</v>
      </c>
      <c r="AD75" s="67">
        <v>0.12620000000000001</v>
      </c>
      <c r="AE75" s="5">
        <f t="shared" si="12"/>
        <v>0.12620000000000001</v>
      </c>
      <c r="AF75" s="71">
        <v>1.6934557979334099E-2</v>
      </c>
      <c r="AG75" s="250">
        <f t="shared" si="11"/>
        <v>0.1071807467046462</v>
      </c>
      <c r="AH75" s="84">
        <v>53.550483038014562</v>
      </c>
      <c r="AI75" s="85" t="s">
        <v>133</v>
      </c>
      <c r="AJ75" s="85" t="s">
        <v>395</v>
      </c>
      <c r="AK75" s="85" t="s">
        <v>395</v>
      </c>
      <c r="AL75" s="85" t="s">
        <v>65</v>
      </c>
      <c r="AM75" s="85" t="s">
        <v>65</v>
      </c>
      <c r="AN75" s="86">
        <v>2.1734686005385333</v>
      </c>
      <c r="AO75" s="85">
        <v>0.55321730038434525</v>
      </c>
      <c r="AP75" s="16" t="s">
        <v>395</v>
      </c>
      <c r="AQ75" s="85">
        <v>0.80002732054220238</v>
      </c>
      <c r="AR75" s="85" t="s">
        <v>69</v>
      </c>
      <c r="AS75" s="85">
        <v>0.89471199679138869</v>
      </c>
      <c r="AT75" s="85">
        <v>0.4157430922076526</v>
      </c>
      <c r="AU75" s="85">
        <v>0.16020400753658412</v>
      </c>
      <c r="AV75" s="85" t="s">
        <v>133</v>
      </c>
      <c r="AW75" s="84" t="s">
        <v>154</v>
      </c>
      <c r="AX75" s="84" t="s">
        <v>395</v>
      </c>
      <c r="AY75" s="84" t="s">
        <v>395</v>
      </c>
      <c r="AZ75" s="84" t="s">
        <v>395</v>
      </c>
      <c r="BA75" s="84" t="s">
        <v>395</v>
      </c>
      <c r="BB75" s="84" t="s">
        <v>395</v>
      </c>
      <c r="BC75" s="5" t="s">
        <v>395</v>
      </c>
      <c r="BD75" s="5" t="s">
        <v>395</v>
      </c>
      <c r="BE75" s="5" t="s">
        <v>395</v>
      </c>
      <c r="BF75" s="5" t="s">
        <v>395</v>
      </c>
      <c r="BG75" s="5" t="s">
        <v>395</v>
      </c>
      <c r="BH75" s="5" t="s">
        <v>395</v>
      </c>
      <c r="BI75" s="5" t="s">
        <v>395</v>
      </c>
      <c r="BJ75" s="5" t="s">
        <v>395</v>
      </c>
      <c r="BK75" s="5" t="s">
        <v>395</v>
      </c>
      <c r="BL75" s="5" t="s">
        <v>395</v>
      </c>
      <c r="BM75" s="5" t="s">
        <v>395</v>
      </c>
      <c r="BN75" s="1">
        <v>160</v>
      </c>
      <c r="BO75" s="57" t="s">
        <v>395</v>
      </c>
      <c r="BP75" s="57" t="s">
        <v>395</v>
      </c>
      <c r="BQ75" s="57" t="s">
        <v>395</v>
      </c>
      <c r="BR75" s="57" t="s">
        <v>395</v>
      </c>
      <c r="BS75" s="57" t="s">
        <v>395</v>
      </c>
      <c r="BT75" s="57" t="s">
        <v>395</v>
      </c>
      <c r="BU75" s="57" t="s">
        <v>395</v>
      </c>
      <c r="BV75" s="57" t="s">
        <v>395</v>
      </c>
      <c r="BW75" s="57" t="s">
        <v>395</v>
      </c>
      <c r="BX75" s="57" t="s">
        <v>395</v>
      </c>
      <c r="BY75" s="57" t="s">
        <v>395</v>
      </c>
      <c r="BZ75" s="57" t="s">
        <v>395</v>
      </c>
      <c r="CA75" s="57" t="s">
        <v>395</v>
      </c>
      <c r="CB75" s="57" t="s">
        <v>395</v>
      </c>
      <c r="CC75" s="57" t="s">
        <v>395</v>
      </c>
      <c r="CD75" s="57" t="s">
        <v>395</v>
      </c>
      <c r="CE75" s="57" t="s">
        <v>395</v>
      </c>
      <c r="CF75" s="57" t="s">
        <v>395</v>
      </c>
      <c r="CG75" s="57" t="s">
        <v>395</v>
      </c>
      <c r="CH75" s="57" t="s">
        <v>395</v>
      </c>
      <c r="CI75" s="57" t="s">
        <v>395</v>
      </c>
      <c r="CJ75" s="57" t="s">
        <v>395</v>
      </c>
      <c r="CK75" s="57" t="s">
        <v>395</v>
      </c>
      <c r="CL75" s="57" t="s">
        <v>395</v>
      </c>
      <c r="CM75" s="57" t="s">
        <v>395</v>
      </c>
      <c r="CN75" s="57" t="s">
        <v>395</v>
      </c>
      <c r="CO75" s="57" t="s">
        <v>395</v>
      </c>
      <c r="CP75" s="57" t="s">
        <v>395</v>
      </c>
      <c r="CQ75" s="57" t="s">
        <v>395</v>
      </c>
      <c r="CR75" s="57" t="s">
        <v>395</v>
      </c>
      <c r="CS75" s="57" t="s">
        <v>395</v>
      </c>
      <c r="CT75" s="57" t="s">
        <v>395</v>
      </c>
      <c r="CU75" s="57" t="s">
        <v>395</v>
      </c>
      <c r="CV75" s="57" t="s">
        <v>395</v>
      </c>
      <c r="CW75" s="57" t="s">
        <v>395</v>
      </c>
      <c r="CX75" s="57" t="s">
        <v>395</v>
      </c>
      <c r="CY75" s="59" t="s">
        <v>395</v>
      </c>
      <c r="CZ75" s="64"/>
    </row>
    <row r="76" spans="1:112" x14ac:dyDescent="0.3">
      <c r="A76" s="98" t="s">
        <v>112</v>
      </c>
      <c r="B76" s="98" t="s">
        <v>112</v>
      </c>
      <c r="C76" s="132" t="s">
        <v>20</v>
      </c>
      <c r="D76" s="132"/>
      <c r="E76" s="98"/>
      <c r="F76" s="98"/>
      <c r="G76" s="245">
        <v>44469</v>
      </c>
      <c r="H76" s="1">
        <v>2021</v>
      </c>
      <c r="I76" s="75" t="s">
        <v>33</v>
      </c>
      <c r="J76" s="75">
        <v>10</v>
      </c>
      <c r="K76" s="155">
        <v>0.81</v>
      </c>
      <c r="L76" s="5" t="s">
        <v>394</v>
      </c>
      <c r="M76" s="67">
        <v>0.37008076009501201</v>
      </c>
      <c r="N76" s="68">
        <v>1.0141472684085511</v>
      </c>
      <c r="O76" s="68">
        <v>3.1991543942992875</v>
      </c>
      <c r="P76" s="68">
        <v>2.4000570071258909</v>
      </c>
      <c r="Q76" s="68">
        <v>4.9784893111638953</v>
      </c>
      <c r="R76" s="68">
        <v>4.6525035629453679</v>
      </c>
      <c r="S76" s="68">
        <v>1.4676769596199524</v>
      </c>
      <c r="T76" s="69">
        <f t="shared" si="9"/>
        <v>18.082109263657955</v>
      </c>
      <c r="U76" s="5">
        <f t="shared" si="10"/>
        <v>96.802791706988074</v>
      </c>
      <c r="V76" s="72" t="s">
        <v>76</v>
      </c>
      <c r="W76" s="72">
        <v>6.2E-2</v>
      </c>
      <c r="X76" s="72">
        <v>1.6E-2</v>
      </c>
      <c r="Y76" s="70">
        <v>4.2000000000000003E-2</v>
      </c>
      <c r="Z76" s="80" t="s">
        <v>76</v>
      </c>
      <c r="AA76" s="70">
        <v>9.7000000000000003E-3</v>
      </c>
      <c r="AB76" s="70">
        <v>8.6999999999999994E-3</v>
      </c>
      <c r="AC76" s="70" t="s">
        <v>141</v>
      </c>
      <c r="AD76" s="67">
        <v>0.13839999999999997</v>
      </c>
      <c r="AE76" s="5">
        <f t="shared" si="12"/>
        <v>0.13840000000000002</v>
      </c>
      <c r="AF76" s="71">
        <v>2.3372921615201898E-2</v>
      </c>
      <c r="AG76" s="250">
        <f t="shared" si="11"/>
        <v>0.14427729392099936</v>
      </c>
      <c r="AH76" s="84">
        <v>14.595285000036753</v>
      </c>
      <c r="AI76" s="85" t="s">
        <v>133</v>
      </c>
      <c r="AJ76" s="85" t="s">
        <v>395</v>
      </c>
      <c r="AK76" s="85" t="s">
        <v>395</v>
      </c>
      <c r="AL76" s="85" t="s">
        <v>65</v>
      </c>
      <c r="AM76" s="85" t="s">
        <v>65</v>
      </c>
      <c r="AN76" s="85">
        <v>0.9648351473155965</v>
      </c>
      <c r="AO76" s="85" t="s">
        <v>133</v>
      </c>
      <c r="AP76" s="16" t="s">
        <v>395</v>
      </c>
      <c r="AQ76" s="85">
        <v>0.71601559570550888</v>
      </c>
      <c r="AR76" s="85" t="s">
        <v>69</v>
      </c>
      <c r="AS76" s="86">
        <v>1.5043430956399599</v>
      </c>
      <c r="AT76" s="85">
        <v>0.35278145607877065</v>
      </c>
      <c r="AU76" s="85">
        <v>0.41062659946702407</v>
      </c>
      <c r="AV76" s="85" t="s">
        <v>133</v>
      </c>
      <c r="AW76" s="85">
        <v>0.18</v>
      </c>
      <c r="AX76" s="85" t="s">
        <v>395</v>
      </c>
      <c r="AY76" s="85" t="s">
        <v>395</v>
      </c>
      <c r="AZ76" s="85" t="s">
        <v>395</v>
      </c>
      <c r="BA76" s="85" t="s">
        <v>395</v>
      </c>
      <c r="BB76" s="85" t="s">
        <v>395</v>
      </c>
      <c r="BC76" s="5" t="s">
        <v>395</v>
      </c>
      <c r="BD76" s="5" t="s">
        <v>395</v>
      </c>
      <c r="BE76" s="5" t="s">
        <v>395</v>
      </c>
      <c r="BF76" s="5" t="s">
        <v>395</v>
      </c>
      <c r="BG76" s="5" t="s">
        <v>395</v>
      </c>
      <c r="BH76" s="5" t="s">
        <v>395</v>
      </c>
      <c r="BI76" s="5" t="s">
        <v>395</v>
      </c>
      <c r="BJ76" s="5" t="s">
        <v>395</v>
      </c>
      <c r="BK76" s="5" t="s">
        <v>395</v>
      </c>
      <c r="BL76" s="5" t="s">
        <v>395</v>
      </c>
      <c r="BM76" s="5" t="s">
        <v>395</v>
      </c>
      <c r="BN76" s="1">
        <v>150</v>
      </c>
      <c r="BO76" s="57" t="s">
        <v>395</v>
      </c>
      <c r="BP76" s="57" t="s">
        <v>395</v>
      </c>
      <c r="BQ76" s="57" t="s">
        <v>395</v>
      </c>
      <c r="BR76" s="57" t="s">
        <v>395</v>
      </c>
      <c r="BS76" s="57" t="s">
        <v>395</v>
      </c>
      <c r="BT76" s="57" t="s">
        <v>395</v>
      </c>
      <c r="BU76" s="57" t="s">
        <v>395</v>
      </c>
      <c r="BV76" s="57" t="s">
        <v>395</v>
      </c>
      <c r="BW76" s="57" t="s">
        <v>395</v>
      </c>
      <c r="BX76" s="57" t="s">
        <v>395</v>
      </c>
      <c r="BY76" s="57" t="s">
        <v>395</v>
      </c>
      <c r="BZ76" s="57" t="s">
        <v>395</v>
      </c>
      <c r="CA76" s="57" t="s">
        <v>395</v>
      </c>
      <c r="CB76" s="57" t="s">
        <v>395</v>
      </c>
      <c r="CC76" s="57" t="s">
        <v>395</v>
      </c>
      <c r="CD76" s="57" t="s">
        <v>395</v>
      </c>
      <c r="CE76" s="57" t="s">
        <v>395</v>
      </c>
      <c r="CF76" s="57" t="s">
        <v>395</v>
      </c>
      <c r="CG76" s="57" t="s">
        <v>395</v>
      </c>
      <c r="CH76" s="57" t="s">
        <v>395</v>
      </c>
      <c r="CI76" s="57" t="s">
        <v>395</v>
      </c>
      <c r="CJ76" s="57" t="s">
        <v>395</v>
      </c>
      <c r="CK76" s="57" t="s">
        <v>395</v>
      </c>
      <c r="CL76" s="57" t="s">
        <v>395</v>
      </c>
      <c r="CM76" s="57" t="s">
        <v>395</v>
      </c>
      <c r="CN76" s="57" t="s">
        <v>395</v>
      </c>
      <c r="CO76" s="57" t="s">
        <v>395</v>
      </c>
      <c r="CP76" s="57" t="s">
        <v>395</v>
      </c>
      <c r="CQ76" s="57" t="s">
        <v>395</v>
      </c>
      <c r="CR76" s="57" t="s">
        <v>395</v>
      </c>
      <c r="CS76" s="57" t="s">
        <v>395</v>
      </c>
      <c r="CT76" s="57" t="s">
        <v>395</v>
      </c>
      <c r="CU76" s="57" t="s">
        <v>395</v>
      </c>
      <c r="CV76" s="57" t="s">
        <v>395</v>
      </c>
      <c r="CW76" s="57" t="s">
        <v>395</v>
      </c>
      <c r="CX76" s="57" t="s">
        <v>395</v>
      </c>
      <c r="CY76" s="59" t="s">
        <v>395</v>
      </c>
      <c r="CZ76" s="64"/>
    </row>
    <row r="77" spans="1:112" x14ac:dyDescent="0.3">
      <c r="A77" s="98" t="s">
        <v>23</v>
      </c>
      <c r="B77" s="98" t="s">
        <v>23</v>
      </c>
      <c r="C77" s="132" t="s">
        <v>20</v>
      </c>
      <c r="D77" s="132"/>
      <c r="E77" s="98"/>
      <c r="F77" s="98"/>
      <c r="G77" s="245">
        <v>44447</v>
      </c>
      <c r="H77" s="1">
        <v>2021</v>
      </c>
      <c r="I77" s="75" t="s">
        <v>33</v>
      </c>
      <c r="J77" s="75">
        <v>10</v>
      </c>
      <c r="K77" s="155">
        <v>0.72</v>
      </c>
      <c r="L77" s="5" t="s">
        <v>394</v>
      </c>
      <c r="M77" s="67">
        <v>0.16807266009852218</v>
      </c>
      <c r="N77" s="68">
        <v>1.2684113300492612</v>
      </c>
      <c r="O77" s="68">
        <v>6.1183087027914613</v>
      </c>
      <c r="P77" s="68">
        <v>5.1201867816091955</v>
      </c>
      <c r="Q77" s="69">
        <v>12.398983990147784</v>
      </c>
      <c r="R77" s="69">
        <v>11.493257389162562</v>
      </c>
      <c r="S77" s="68">
        <v>4.0024425287356324</v>
      </c>
      <c r="T77" s="69">
        <f t="shared" si="9"/>
        <v>40.56966338259442</v>
      </c>
      <c r="U77" s="5">
        <f t="shared" si="10"/>
        <v>246.17692084017514</v>
      </c>
      <c r="V77" s="72" t="s">
        <v>40</v>
      </c>
      <c r="W77" s="72">
        <v>7.0999999999999994E-2</v>
      </c>
      <c r="X77" s="72">
        <v>1.4999999999999999E-2</v>
      </c>
      <c r="Y77" s="72">
        <v>3.4000000000000002E-2</v>
      </c>
      <c r="Z77" s="80" t="s">
        <v>40</v>
      </c>
      <c r="AA77" s="70">
        <v>1.2E-2</v>
      </c>
      <c r="AB77" s="70">
        <v>1.2E-2</v>
      </c>
      <c r="AC77" s="70" t="s">
        <v>142</v>
      </c>
      <c r="AD77" s="67">
        <v>0.14400000000000002</v>
      </c>
      <c r="AE77" s="5">
        <f t="shared" si="12"/>
        <v>0.14400000000000002</v>
      </c>
      <c r="AF77" s="70">
        <v>2.0525451559934321E-2</v>
      </c>
      <c r="AG77" s="250">
        <f t="shared" si="11"/>
        <v>0.14253785805509947</v>
      </c>
      <c r="AH77" s="84">
        <v>89.383142303732086</v>
      </c>
      <c r="AI77" s="85" t="s">
        <v>133</v>
      </c>
      <c r="AJ77" s="85" t="s">
        <v>395</v>
      </c>
      <c r="AK77" s="85" t="s">
        <v>395</v>
      </c>
      <c r="AL77" s="85" t="s">
        <v>65</v>
      </c>
      <c r="AM77" s="85">
        <v>0.10435360318770343</v>
      </c>
      <c r="AN77" s="86">
        <v>2.9659740410781943</v>
      </c>
      <c r="AO77" s="85">
        <v>0.99273532175378953</v>
      </c>
      <c r="AP77" s="16" t="s">
        <v>395</v>
      </c>
      <c r="AQ77" s="85">
        <v>3.278576153484436</v>
      </c>
      <c r="AR77" s="85" t="s">
        <v>69</v>
      </c>
      <c r="AS77" s="86">
        <v>6.7247678930414283</v>
      </c>
      <c r="AT77" s="86">
        <v>1.8747335048867817</v>
      </c>
      <c r="AU77" s="86">
        <v>3.3278478730847838</v>
      </c>
      <c r="AV77" s="85" t="s">
        <v>133</v>
      </c>
      <c r="AW77" s="84" t="s">
        <v>154</v>
      </c>
      <c r="AX77" s="84" t="s">
        <v>395</v>
      </c>
      <c r="AY77" s="84" t="s">
        <v>395</v>
      </c>
      <c r="AZ77" s="84" t="s">
        <v>395</v>
      </c>
      <c r="BA77" s="84" t="s">
        <v>395</v>
      </c>
      <c r="BB77" s="84" t="s">
        <v>395</v>
      </c>
      <c r="BC77" s="5" t="s">
        <v>395</v>
      </c>
      <c r="BD77" s="5" t="s">
        <v>395</v>
      </c>
      <c r="BE77" s="5" t="s">
        <v>395</v>
      </c>
      <c r="BF77" s="5" t="s">
        <v>395</v>
      </c>
      <c r="BG77" s="5" t="s">
        <v>395</v>
      </c>
      <c r="BH77" s="5" t="s">
        <v>395</v>
      </c>
      <c r="BI77" s="5" t="s">
        <v>395</v>
      </c>
      <c r="BJ77" s="5" t="s">
        <v>395</v>
      </c>
      <c r="BK77" s="5" t="s">
        <v>395</v>
      </c>
      <c r="BL77" s="5" t="s">
        <v>395</v>
      </c>
      <c r="BM77" s="5" t="s">
        <v>395</v>
      </c>
      <c r="BN77" s="1">
        <v>590</v>
      </c>
      <c r="BO77" s="57" t="s">
        <v>395</v>
      </c>
      <c r="BP77" s="57" t="s">
        <v>395</v>
      </c>
      <c r="BQ77" s="57" t="s">
        <v>395</v>
      </c>
      <c r="BR77" s="57" t="s">
        <v>395</v>
      </c>
      <c r="BS77" s="57" t="s">
        <v>395</v>
      </c>
      <c r="BT77" s="57" t="s">
        <v>395</v>
      </c>
      <c r="BU77" s="57" t="s">
        <v>395</v>
      </c>
      <c r="BV77" s="57" t="s">
        <v>395</v>
      </c>
      <c r="BW77" s="57" t="s">
        <v>395</v>
      </c>
      <c r="BX77" s="57" t="s">
        <v>395</v>
      </c>
      <c r="BY77" s="57" t="s">
        <v>395</v>
      </c>
      <c r="BZ77" s="57" t="s">
        <v>395</v>
      </c>
      <c r="CA77" s="57" t="s">
        <v>395</v>
      </c>
      <c r="CB77" s="57" t="s">
        <v>395</v>
      </c>
      <c r="CC77" s="57" t="s">
        <v>395</v>
      </c>
      <c r="CD77" s="57" t="s">
        <v>395</v>
      </c>
      <c r="CE77" s="57" t="s">
        <v>395</v>
      </c>
      <c r="CF77" s="57" t="s">
        <v>395</v>
      </c>
      <c r="CG77" s="57" t="s">
        <v>395</v>
      </c>
      <c r="CH77" s="57" t="s">
        <v>395</v>
      </c>
      <c r="CI77" s="57" t="s">
        <v>395</v>
      </c>
      <c r="CJ77" s="57" t="s">
        <v>395</v>
      </c>
      <c r="CK77" s="57" t="s">
        <v>395</v>
      </c>
      <c r="CL77" s="57" t="s">
        <v>395</v>
      </c>
      <c r="CM77" s="57" t="s">
        <v>395</v>
      </c>
      <c r="CN77" s="57" t="s">
        <v>395</v>
      </c>
      <c r="CO77" s="57" t="s">
        <v>395</v>
      </c>
      <c r="CP77" s="57" t="s">
        <v>395</v>
      </c>
      <c r="CQ77" s="57" t="s">
        <v>395</v>
      </c>
      <c r="CR77" s="57" t="s">
        <v>395</v>
      </c>
      <c r="CS77" s="57" t="s">
        <v>395</v>
      </c>
      <c r="CT77" s="57" t="s">
        <v>395</v>
      </c>
      <c r="CU77" s="57" t="s">
        <v>395</v>
      </c>
      <c r="CV77" s="57" t="s">
        <v>395</v>
      </c>
      <c r="CW77" s="57" t="s">
        <v>395</v>
      </c>
      <c r="CX77" s="57" t="s">
        <v>395</v>
      </c>
      <c r="CY77" s="59" t="s">
        <v>395</v>
      </c>
      <c r="CZ77" s="64"/>
    </row>
    <row r="78" spans="1:112" x14ac:dyDescent="0.3">
      <c r="A78" s="98" t="s">
        <v>27</v>
      </c>
      <c r="B78" s="98" t="s">
        <v>27</v>
      </c>
      <c r="C78" s="132" t="s">
        <v>20</v>
      </c>
      <c r="D78" s="132"/>
      <c r="E78" s="98"/>
      <c r="F78" s="98"/>
      <c r="G78" s="245">
        <v>44480</v>
      </c>
      <c r="H78" s="1">
        <v>2021</v>
      </c>
      <c r="I78" s="75" t="s">
        <v>33</v>
      </c>
      <c r="J78" s="75">
        <v>10</v>
      </c>
      <c r="K78" s="155">
        <v>0.78</v>
      </c>
      <c r="L78" s="5" t="s">
        <v>394</v>
      </c>
      <c r="M78" s="70">
        <v>6.4667730991817995E-2</v>
      </c>
      <c r="N78" s="67">
        <v>0.23233885452005587</v>
      </c>
      <c r="O78" s="67">
        <v>0.55007982438635006</v>
      </c>
      <c r="P78" s="67">
        <v>0.57785871083616036</v>
      </c>
      <c r="Q78" s="68">
        <v>1.1316703252843743</v>
      </c>
      <c r="R78" s="68">
        <v>0.99814408301736168</v>
      </c>
      <c r="S78" s="67">
        <v>0.32330872081420875</v>
      </c>
      <c r="T78" s="68">
        <f t="shared" si="9"/>
        <v>3.8780682498503292</v>
      </c>
      <c r="U78" s="5">
        <f t="shared" si="10"/>
        <v>21.155189352654926</v>
      </c>
      <c r="V78" s="72" t="s">
        <v>78</v>
      </c>
      <c r="W78" s="70">
        <v>3.7999999999999999E-2</v>
      </c>
      <c r="X78" s="70">
        <v>8.8000000000000005E-3</v>
      </c>
      <c r="Y78" s="70">
        <v>3.4000000000000002E-2</v>
      </c>
      <c r="Z78" s="80" t="s">
        <v>78</v>
      </c>
      <c r="AA78" s="70">
        <v>9.2999999999999992E-3</v>
      </c>
      <c r="AB78" s="70">
        <v>7.7999999999999996E-3</v>
      </c>
      <c r="AC78" s="70" t="s">
        <v>134</v>
      </c>
      <c r="AD78" s="67">
        <v>9.7900000000000015E-2</v>
      </c>
      <c r="AE78" s="5">
        <f t="shared" si="12"/>
        <v>9.7900000000000015E-2</v>
      </c>
      <c r="AF78" s="71" t="s">
        <v>156</v>
      </c>
      <c r="AG78" s="250" t="s">
        <v>395</v>
      </c>
      <c r="AH78" s="84">
        <v>19.842468523640925</v>
      </c>
      <c r="AI78" s="85">
        <v>0.22641262881234236</v>
      </c>
      <c r="AJ78" s="85" t="s">
        <v>395</v>
      </c>
      <c r="AK78" s="85" t="s">
        <v>395</v>
      </c>
      <c r="AL78" s="85" t="s">
        <v>65</v>
      </c>
      <c r="AM78" s="85" t="s">
        <v>65</v>
      </c>
      <c r="AN78" s="85" t="s">
        <v>46</v>
      </c>
      <c r="AO78" s="85" t="s">
        <v>133</v>
      </c>
      <c r="AP78" s="16" t="s">
        <v>395</v>
      </c>
      <c r="AQ78" s="85">
        <v>0.69689128171697434</v>
      </c>
      <c r="AR78" s="85" t="s">
        <v>69</v>
      </c>
      <c r="AS78" s="85">
        <v>0.26511430307991918</v>
      </c>
      <c r="AT78" s="85" t="s">
        <v>69</v>
      </c>
      <c r="AU78" s="85" t="s">
        <v>133</v>
      </c>
      <c r="AV78" s="85" t="s">
        <v>133</v>
      </c>
      <c r="AW78" s="84" t="s">
        <v>154</v>
      </c>
      <c r="AX78" s="84" t="s">
        <v>395</v>
      </c>
      <c r="AY78" s="84" t="s">
        <v>395</v>
      </c>
      <c r="AZ78" s="84" t="s">
        <v>395</v>
      </c>
      <c r="BA78" s="84" t="s">
        <v>395</v>
      </c>
      <c r="BB78" s="84" t="s">
        <v>395</v>
      </c>
      <c r="BC78" s="5" t="s">
        <v>395</v>
      </c>
      <c r="BD78" s="5" t="s">
        <v>395</v>
      </c>
      <c r="BE78" s="5" t="s">
        <v>395</v>
      </c>
      <c r="BF78" s="5" t="s">
        <v>395</v>
      </c>
      <c r="BG78" s="5" t="s">
        <v>395</v>
      </c>
      <c r="BH78" s="5" t="s">
        <v>395</v>
      </c>
      <c r="BI78" s="5" t="s">
        <v>395</v>
      </c>
      <c r="BJ78" s="5" t="s">
        <v>395</v>
      </c>
      <c r="BK78" s="5" t="s">
        <v>395</v>
      </c>
      <c r="BL78" s="5" t="s">
        <v>395</v>
      </c>
      <c r="BM78" s="5" t="s">
        <v>395</v>
      </c>
      <c r="BN78" s="1">
        <v>89</v>
      </c>
      <c r="BO78" s="57" t="s">
        <v>395</v>
      </c>
      <c r="BP78" s="57" t="s">
        <v>395</v>
      </c>
      <c r="BQ78" s="57" t="s">
        <v>395</v>
      </c>
      <c r="BR78" s="57" t="s">
        <v>395</v>
      </c>
      <c r="BS78" s="57" t="s">
        <v>395</v>
      </c>
      <c r="BT78" s="57" t="s">
        <v>395</v>
      </c>
      <c r="BU78" s="57" t="s">
        <v>395</v>
      </c>
      <c r="BV78" s="57" t="s">
        <v>395</v>
      </c>
      <c r="BW78" s="57" t="s">
        <v>395</v>
      </c>
      <c r="BX78" s="57" t="s">
        <v>395</v>
      </c>
      <c r="BY78" s="57" t="s">
        <v>395</v>
      </c>
      <c r="BZ78" s="57" t="s">
        <v>395</v>
      </c>
      <c r="CA78" s="57" t="s">
        <v>395</v>
      </c>
      <c r="CB78" s="57" t="s">
        <v>395</v>
      </c>
      <c r="CC78" s="57" t="s">
        <v>395</v>
      </c>
      <c r="CD78" s="57" t="s">
        <v>395</v>
      </c>
      <c r="CE78" s="57" t="s">
        <v>395</v>
      </c>
      <c r="CF78" s="57" t="s">
        <v>395</v>
      </c>
      <c r="CG78" s="57" t="s">
        <v>395</v>
      </c>
      <c r="CH78" s="57" t="s">
        <v>395</v>
      </c>
      <c r="CI78" s="57" t="s">
        <v>395</v>
      </c>
      <c r="CJ78" s="57" t="s">
        <v>395</v>
      </c>
      <c r="CK78" s="57" t="s">
        <v>395</v>
      </c>
      <c r="CL78" s="57" t="s">
        <v>395</v>
      </c>
      <c r="CM78" s="57" t="s">
        <v>395</v>
      </c>
      <c r="CN78" s="57" t="s">
        <v>395</v>
      </c>
      <c r="CO78" s="57" t="s">
        <v>395</v>
      </c>
      <c r="CP78" s="57" t="s">
        <v>395</v>
      </c>
      <c r="CQ78" s="57" t="s">
        <v>395</v>
      </c>
      <c r="CR78" s="57" t="s">
        <v>395</v>
      </c>
      <c r="CS78" s="57" t="s">
        <v>395</v>
      </c>
      <c r="CT78" s="57" t="s">
        <v>395</v>
      </c>
      <c r="CU78" s="57" t="s">
        <v>395</v>
      </c>
      <c r="CV78" s="57" t="s">
        <v>395</v>
      </c>
      <c r="CW78" s="57" t="s">
        <v>395</v>
      </c>
      <c r="CX78" s="57" t="s">
        <v>395</v>
      </c>
      <c r="CY78" s="59" t="s">
        <v>395</v>
      </c>
      <c r="CZ78" s="64"/>
    </row>
    <row r="79" spans="1:112" x14ac:dyDescent="0.3">
      <c r="A79" s="98" t="s">
        <v>6</v>
      </c>
      <c r="B79" s="98" t="s">
        <v>132</v>
      </c>
      <c r="C79" s="132" t="s">
        <v>20</v>
      </c>
      <c r="D79" s="132"/>
      <c r="E79" s="98"/>
      <c r="F79" s="98"/>
      <c r="G79" s="245">
        <v>44435</v>
      </c>
      <c r="H79" s="1">
        <v>2021</v>
      </c>
      <c r="I79" s="75" t="s">
        <v>33</v>
      </c>
      <c r="J79" s="75">
        <v>10</v>
      </c>
      <c r="K79" s="155">
        <v>0.77</v>
      </c>
      <c r="L79" s="5" t="s">
        <v>394</v>
      </c>
      <c r="M79" s="70">
        <v>2.7494766224703416E-2</v>
      </c>
      <c r="N79" s="67">
        <v>0.20184428272355698</v>
      </c>
      <c r="O79" s="68">
        <v>1.0788356096102083</v>
      </c>
      <c r="P79" s="67">
        <v>0.93971687767919443</v>
      </c>
      <c r="Q79" s="68">
        <v>2.7371548200578206</v>
      </c>
      <c r="R79" s="68">
        <v>2.2223008673113345</v>
      </c>
      <c r="S79" s="67">
        <v>0.89186521782474337</v>
      </c>
      <c r="T79" s="68">
        <f t="shared" si="9"/>
        <v>8.0992124414315629</v>
      </c>
      <c r="U79" s="5">
        <f t="shared" si="10"/>
        <v>46.490230933456928</v>
      </c>
      <c r="V79" s="72" t="s">
        <v>78</v>
      </c>
      <c r="W79" s="67">
        <v>0.1</v>
      </c>
      <c r="X79" s="70">
        <v>2.1999999999999999E-2</v>
      </c>
      <c r="Y79" s="70">
        <v>6.8000000000000005E-2</v>
      </c>
      <c r="Z79" s="80" t="s">
        <v>78</v>
      </c>
      <c r="AA79" s="70">
        <v>1.9E-2</v>
      </c>
      <c r="AB79" s="70">
        <v>1.2999999999999999E-2</v>
      </c>
      <c r="AC79" s="70" t="s">
        <v>137</v>
      </c>
      <c r="AD79" s="67">
        <v>0.222</v>
      </c>
      <c r="AE79" s="5">
        <f t="shared" si="12"/>
        <v>0.222</v>
      </c>
      <c r="AF79" s="71">
        <v>2.213139268268368E-2</v>
      </c>
      <c r="AG79" s="250">
        <f t="shared" si="11"/>
        <v>0.14371034209534858</v>
      </c>
      <c r="AH79" s="86">
        <v>8.9967972601242625</v>
      </c>
      <c r="AI79" s="85" t="s">
        <v>133</v>
      </c>
      <c r="AJ79" s="85" t="s">
        <v>395</v>
      </c>
      <c r="AK79" s="85" t="s">
        <v>395</v>
      </c>
      <c r="AL79" s="85" t="s">
        <v>65</v>
      </c>
      <c r="AM79" s="85" t="s">
        <v>65</v>
      </c>
      <c r="AN79" s="86">
        <v>1.7456987752757778</v>
      </c>
      <c r="AO79" s="85" t="s">
        <v>133</v>
      </c>
      <c r="AP79" s="16" t="s">
        <v>395</v>
      </c>
      <c r="AQ79" s="85">
        <v>0.35805761924028495</v>
      </c>
      <c r="AR79" s="85" t="s">
        <v>69</v>
      </c>
      <c r="AS79" s="85">
        <v>0.40433534818721278</v>
      </c>
      <c r="AT79" s="85" t="s">
        <v>69</v>
      </c>
      <c r="AU79" s="85" t="s">
        <v>133</v>
      </c>
      <c r="AV79" s="85" t="s">
        <v>133</v>
      </c>
      <c r="AW79" s="85">
        <v>0.25775083361236673</v>
      </c>
      <c r="AX79" s="85" t="s">
        <v>395</v>
      </c>
      <c r="AY79" s="85" t="s">
        <v>395</v>
      </c>
      <c r="AZ79" s="85" t="s">
        <v>395</v>
      </c>
      <c r="BA79" s="85" t="s">
        <v>395</v>
      </c>
      <c r="BB79" s="85" t="s">
        <v>395</v>
      </c>
      <c r="BC79" s="5" t="s">
        <v>395</v>
      </c>
      <c r="BD79" s="5" t="s">
        <v>395</v>
      </c>
      <c r="BE79" s="5" t="s">
        <v>395</v>
      </c>
      <c r="BF79" s="5" t="s">
        <v>395</v>
      </c>
      <c r="BG79" s="5" t="s">
        <v>395</v>
      </c>
      <c r="BH79" s="5" t="s">
        <v>395</v>
      </c>
      <c r="BI79" s="5" t="s">
        <v>395</v>
      </c>
      <c r="BJ79" s="5" t="s">
        <v>395</v>
      </c>
      <c r="BK79" s="5" t="s">
        <v>395</v>
      </c>
      <c r="BL79" s="5" t="s">
        <v>395</v>
      </c>
      <c r="BM79" s="5" t="s">
        <v>395</v>
      </c>
      <c r="BN79" s="1">
        <v>37</v>
      </c>
      <c r="BO79" s="57" t="s">
        <v>395</v>
      </c>
      <c r="BP79" s="57" t="s">
        <v>395</v>
      </c>
      <c r="BQ79" s="57" t="s">
        <v>395</v>
      </c>
      <c r="BR79" s="57" t="s">
        <v>395</v>
      </c>
      <c r="BS79" s="57" t="s">
        <v>395</v>
      </c>
      <c r="BT79" s="57" t="s">
        <v>395</v>
      </c>
      <c r="BU79" s="57" t="s">
        <v>395</v>
      </c>
      <c r="BV79" s="57" t="s">
        <v>395</v>
      </c>
      <c r="BW79" s="57" t="s">
        <v>395</v>
      </c>
      <c r="BX79" s="57" t="s">
        <v>395</v>
      </c>
      <c r="BY79" s="57" t="s">
        <v>395</v>
      </c>
      <c r="BZ79" s="57" t="s">
        <v>395</v>
      </c>
      <c r="CA79" s="57" t="s">
        <v>395</v>
      </c>
      <c r="CB79" s="57" t="s">
        <v>395</v>
      </c>
      <c r="CC79" s="57" t="s">
        <v>395</v>
      </c>
      <c r="CD79" s="57" t="s">
        <v>395</v>
      </c>
      <c r="CE79" s="57" t="s">
        <v>395</v>
      </c>
      <c r="CF79" s="57" t="s">
        <v>395</v>
      </c>
      <c r="CG79" s="57" t="s">
        <v>395</v>
      </c>
      <c r="CH79" s="57" t="s">
        <v>395</v>
      </c>
      <c r="CI79" s="57" t="s">
        <v>395</v>
      </c>
      <c r="CJ79" s="57" t="s">
        <v>395</v>
      </c>
      <c r="CK79" s="57" t="s">
        <v>395</v>
      </c>
      <c r="CL79" s="57" t="s">
        <v>395</v>
      </c>
      <c r="CM79" s="57" t="s">
        <v>395</v>
      </c>
      <c r="CN79" s="57" t="s">
        <v>395</v>
      </c>
      <c r="CO79" s="57" t="s">
        <v>395</v>
      </c>
      <c r="CP79" s="57" t="s">
        <v>395</v>
      </c>
      <c r="CQ79" s="57" t="s">
        <v>395</v>
      </c>
      <c r="CR79" s="57" t="s">
        <v>395</v>
      </c>
      <c r="CS79" s="57" t="s">
        <v>395</v>
      </c>
      <c r="CT79" s="57" t="s">
        <v>395</v>
      </c>
      <c r="CU79" s="57" t="s">
        <v>395</v>
      </c>
      <c r="CV79" s="57" t="s">
        <v>395</v>
      </c>
      <c r="CW79" s="57" t="s">
        <v>395</v>
      </c>
      <c r="CX79" s="57" t="s">
        <v>395</v>
      </c>
      <c r="CY79" s="59" t="s">
        <v>395</v>
      </c>
      <c r="CZ79" s="64"/>
    </row>
    <row r="80" spans="1:112" x14ac:dyDescent="0.3">
      <c r="A80" s="98" t="s">
        <v>30</v>
      </c>
      <c r="B80" s="98" t="s">
        <v>30</v>
      </c>
      <c r="C80" s="132" t="s">
        <v>20</v>
      </c>
      <c r="D80" s="132"/>
      <c r="E80" s="98"/>
      <c r="F80" s="98"/>
      <c r="G80" s="245">
        <v>44480</v>
      </c>
      <c r="H80" s="1">
        <v>2021</v>
      </c>
      <c r="I80" s="75" t="s">
        <v>33</v>
      </c>
      <c r="J80" s="75">
        <v>10</v>
      </c>
      <c r="K80" s="155">
        <v>0.9</v>
      </c>
      <c r="L80" s="5" t="s">
        <v>394</v>
      </c>
      <c r="M80" s="70">
        <v>5.7567093977681456E-2</v>
      </c>
      <c r="N80" s="67">
        <v>0.41581204463709309</v>
      </c>
      <c r="O80" s="68">
        <v>1.7456239048233884</v>
      </c>
      <c r="P80" s="68">
        <v>1.548621230286821</v>
      </c>
      <c r="Q80" s="68">
        <v>3.3733330259153371</v>
      </c>
      <c r="R80" s="68">
        <v>2.950700913031449</v>
      </c>
      <c r="S80" s="67">
        <v>0.92762150696301759</v>
      </c>
      <c r="T80" s="69">
        <f t="shared" si="9"/>
        <v>11.019279719634788</v>
      </c>
      <c r="U80" s="5">
        <f t="shared" si="10"/>
        <v>52.614769385266477</v>
      </c>
      <c r="V80" s="70" t="s">
        <v>77</v>
      </c>
      <c r="W80" s="70">
        <v>6.3E-2</v>
      </c>
      <c r="X80" s="72">
        <v>1.4999999999999999E-2</v>
      </c>
      <c r="Y80" s="70">
        <v>3.7999999999999999E-2</v>
      </c>
      <c r="Z80" s="73" t="s">
        <v>77</v>
      </c>
      <c r="AA80" s="70">
        <v>1.2E-2</v>
      </c>
      <c r="AB80" s="70">
        <v>0.01</v>
      </c>
      <c r="AC80" s="70" t="s">
        <v>136</v>
      </c>
      <c r="AD80" s="67">
        <v>0.13800000000000001</v>
      </c>
      <c r="AE80" s="5">
        <f t="shared" si="12"/>
        <v>0.13800000000000001</v>
      </c>
      <c r="AF80" s="71">
        <v>2.0381813151341882E-2</v>
      </c>
      <c r="AG80" s="250">
        <f t="shared" si="11"/>
        <v>0.11323229528523267</v>
      </c>
      <c r="AH80" s="84">
        <v>29.001725415787913</v>
      </c>
      <c r="AI80" s="85" t="s">
        <v>133</v>
      </c>
      <c r="AJ80" s="85" t="s">
        <v>395</v>
      </c>
      <c r="AK80" s="85" t="s">
        <v>395</v>
      </c>
      <c r="AL80" s="85" t="s">
        <v>65</v>
      </c>
      <c r="AM80" s="85">
        <v>0.1098294067044067</v>
      </c>
      <c r="AN80" s="85">
        <v>3.0447726463351463</v>
      </c>
      <c r="AO80" s="85">
        <v>0.62757815101565095</v>
      </c>
      <c r="AP80" s="16" t="s">
        <v>395</v>
      </c>
      <c r="AQ80" s="86">
        <v>1.7689425736300735</v>
      </c>
      <c r="AR80" s="85" t="s">
        <v>69</v>
      </c>
      <c r="AS80" s="86">
        <v>2.2795847092722092</v>
      </c>
      <c r="AT80" s="85">
        <v>0.28921743765493763</v>
      </c>
      <c r="AU80" s="85">
        <v>0.38504897879897881</v>
      </c>
      <c r="AV80" s="85" t="s">
        <v>133</v>
      </c>
      <c r="AW80" s="84" t="s">
        <v>154</v>
      </c>
      <c r="AX80" s="84" t="s">
        <v>395</v>
      </c>
      <c r="AY80" s="84" t="s">
        <v>395</v>
      </c>
      <c r="AZ80" s="84" t="s">
        <v>395</v>
      </c>
      <c r="BA80" s="84" t="s">
        <v>395</v>
      </c>
      <c r="BB80" s="84" t="s">
        <v>395</v>
      </c>
      <c r="BC80" s="5" t="s">
        <v>395</v>
      </c>
      <c r="BD80" s="5" t="s">
        <v>395</v>
      </c>
      <c r="BE80" s="5" t="s">
        <v>395</v>
      </c>
      <c r="BF80" s="5" t="s">
        <v>395</v>
      </c>
      <c r="BG80" s="5" t="s">
        <v>395</v>
      </c>
      <c r="BH80" s="5" t="s">
        <v>395</v>
      </c>
      <c r="BI80" s="5" t="s">
        <v>395</v>
      </c>
      <c r="BJ80" s="5" t="s">
        <v>395</v>
      </c>
      <c r="BK80" s="5" t="s">
        <v>395</v>
      </c>
      <c r="BL80" s="5" t="s">
        <v>395</v>
      </c>
      <c r="BM80" s="5" t="s">
        <v>395</v>
      </c>
      <c r="BN80" s="1">
        <v>64</v>
      </c>
      <c r="BO80" s="57" t="s">
        <v>395</v>
      </c>
      <c r="BP80" s="57" t="s">
        <v>395</v>
      </c>
      <c r="BQ80" s="57" t="s">
        <v>395</v>
      </c>
      <c r="BR80" s="57" t="s">
        <v>395</v>
      </c>
      <c r="BS80" s="57" t="s">
        <v>395</v>
      </c>
      <c r="BT80" s="57" t="s">
        <v>395</v>
      </c>
      <c r="BU80" s="57" t="s">
        <v>395</v>
      </c>
      <c r="BV80" s="57" t="s">
        <v>395</v>
      </c>
      <c r="BW80" s="57" t="s">
        <v>395</v>
      </c>
      <c r="BX80" s="57" t="s">
        <v>395</v>
      </c>
      <c r="BY80" s="57" t="s">
        <v>395</v>
      </c>
      <c r="BZ80" s="57" t="s">
        <v>395</v>
      </c>
      <c r="CA80" s="57" t="s">
        <v>395</v>
      </c>
      <c r="CB80" s="57" t="s">
        <v>395</v>
      </c>
      <c r="CC80" s="57" t="s">
        <v>395</v>
      </c>
      <c r="CD80" s="57" t="s">
        <v>395</v>
      </c>
      <c r="CE80" s="57" t="s">
        <v>395</v>
      </c>
      <c r="CF80" s="57" t="s">
        <v>395</v>
      </c>
      <c r="CG80" s="57" t="s">
        <v>395</v>
      </c>
      <c r="CH80" s="57" t="s">
        <v>395</v>
      </c>
      <c r="CI80" s="57" t="s">
        <v>395</v>
      </c>
      <c r="CJ80" s="57" t="s">
        <v>395</v>
      </c>
      <c r="CK80" s="57" t="s">
        <v>395</v>
      </c>
      <c r="CL80" s="57" t="s">
        <v>395</v>
      </c>
      <c r="CM80" s="57" t="s">
        <v>395</v>
      </c>
      <c r="CN80" s="57" t="s">
        <v>395</v>
      </c>
      <c r="CO80" s="57" t="s">
        <v>395</v>
      </c>
      <c r="CP80" s="57" t="s">
        <v>395</v>
      </c>
      <c r="CQ80" s="57" t="s">
        <v>395</v>
      </c>
      <c r="CR80" s="57" t="s">
        <v>395</v>
      </c>
      <c r="CS80" s="57" t="s">
        <v>395</v>
      </c>
      <c r="CT80" s="57" t="s">
        <v>395</v>
      </c>
      <c r="CU80" s="57" t="s">
        <v>395</v>
      </c>
      <c r="CV80" s="57" t="s">
        <v>395</v>
      </c>
      <c r="CW80" s="57" t="s">
        <v>395</v>
      </c>
      <c r="CX80" s="57" t="s">
        <v>395</v>
      </c>
      <c r="CY80" s="59" t="s">
        <v>395</v>
      </c>
      <c r="CZ80" s="64"/>
    </row>
    <row r="81" spans="1:104" x14ac:dyDescent="0.3">
      <c r="A81" s="98" t="s">
        <v>21</v>
      </c>
      <c r="B81" s="98" t="s">
        <v>21</v>
      </c>
      <c r="C81" s="132" t="s">
        <v>20</v>
      </c>
      <c r="D81" s="132"/>
      <c r="E81" s="98"/>
      <c r="F81" s="98"/>
      <c r="G81" s="245">
        <v>44441</v>
      </c>
      <c r="H81" s="1">
        <v>2021</v>
      </c>
      <c r="I81" s="75" t="s">
        <v>33</v>
      </c>
      <c r="J81" s="75">
        <v>10</v>
      </c>
      <c r="K81" s="155">
        <v>0.69</v>
      </c>
      <c r="L81" s="5" t="s">
        <v>394</v>
      </c>
      <c r="M81" s="70" t="s">
        <v>140</v>
      </c>
      <c r="N81" s="70">
        <v>6.0800913155141252E-2</v>
      </c>
      <c r="O81" s="67">
        <v>0.79586226576619423</v>
      </c>
      <c r="P81" s="67">
        <v>0.78854751260344325</v>
      </c>
      <c r="Q81" s="68">
        <v>4.4577570626842959</v>
      </c>
      <c r="R81" s="68">
        <v>3.7758013887567774</v>
      </c>
      <c r="S81" s="68">
        <v>1.7199467326167603</v>
      </c>
      <c r="T81" s="69">
        <f t="shared" si="9"/>
        <v>11.598715875582613</v>
      </c>
      <c r="U81" s="5">
        <f t="shared" si="10"/>
        <v>78.334553354921525</v>
      </c>
      <c r="V81" s="72" t="s">
        <v>76</v>
      </c>
      <c r="W81" s="67">
        <v>0.13</v>
      </c>
      <c r="X81" s="70">
        <v>4.2000000000000003E-2</v>
      </c>
      <c r="Y81" s="70">
        <v>9.2999999999999999E-2</v>
      </c>
      <c r="Z81" s="73" t="s">
        <v>76</v>
      </c>
      <c r="AA81" s="70">
        <v>4.2999999999999997E-2</v>
      </c>
      <c r="AB81" s="70">
        <v>2.5000000000000001E-2</v>
      </c>
      <c r="AC81" s="70" t="s">
        <v>135</v>
      </c>
      <c r="AD81" s="67">
        <v>0.33300000000000002</v>
      </c>
      <c r="AE81" s="5">
        <f t="shared" si="12"/>
        <v>0.33300000000000002</v>
      </c>
      <c r="AF81" s="74">
        <v>1.5409493008655951E-2</v>
      </c>
      <c r="AG81" s="250">
        <f t="shared" si="11"/>
        <v>0.11166299281634748</v>
      </c>
      <c r="AH81" s="84">
        <v>24.592638662346452</v>
      </c>
      <c r="AI81" s="85" t="s">
        <v>133</v>
      </c>
      <c r="AJ81" s="85" t="s">
        <v>395</v>
      </c>
      <c r="AK81" s="85" t="s">
        <v>395</v>
      </c>
      <c r="AL81" s="85" t="s">
        <v>65</v>
      </c>
      <c r="AM81" s="85" t="s">
        <v>65</v>
      </c>
      <c r="AN81" s="86">
        <v>1.2511164105765862</v>
      </c>
      <c r="AO81" s="85">
        <v>0.70566506769182502</v>
      </c>
      <c r="AP81" s="16" t="s">
        <v>395</v>
      </c>
      <c r="AQ81" s="85">
        <v>0.50656524180661899</v>
      </c>
      <c r="AR81" s="85" t="s">
        <v>69</v>
      </c>
      <c r="AS81" s="85">
        <v>0.76677713432375694</v>
      </c>
      <c r="AT81" s="85" t="s">
        <v>69</v>
      </c>
      <c r="AU81" s="85" t="s">
        <v>133</v>
      </c>
      <c r="AV81" s="85" t="s">
        <v>133</v>
      </c>
      <c r="AW81" s="85">
        <v>0.17582793254065004</v>
      </c>
      <c r="AX81" s="85" t="s">
        <v>395</v>
      </c>
      <c r="AY81" s="85" t="s">
        <v>395</v>
      </c>
      <c r="AZ81" s="85" t="s">
        <v>395</v>
      </c>
      <c r="BA81" s="85" t="s">
        <v>395</v>
      </c>
      <c r="BB81" s="85" t="s">
        <v>395</v>
      </c>
      <c r="BC81" s="5" t="s">
        <v>395</v>
      </c>
      <c r="BD81" s="5" t="s">
        <v>395</v>
      </c>
      <c r="BE81" s="5" t="s">
        <v>395</v>
      </c>
      <c r="BF81" s="5" t="s">
        <v>395</v>
      </c>
      <c r="BG81" s="5" t="s">
        <v>395</v>
      </c>
      <c r="BH81" s="5" t="s">
        <v>395</v>
      </c>
      <c r="BI81" s="5" t="s">
        <v>395</v>
      </c>
      <c r="BJ81" s="5" t="s">
        <v>395</v>
      </c>
      <c r="BK81" s="5" t="s">
        <v>395</v>
      </c>
      <c r="BL81" s="5" t="s">
        <v>395</v>
      </c>
      <c r="BM81" s="5" t="s">
        <v>395</v>
      </c>
      <c r="BN81" s="1">
        <v>56</v>
      </c>
      <c r="BO81" s="57" t="s">
        <v>395</v>
      </c>
      <c r="BP81" s="57" t="s">
        <v>395</v>
      </c>
      <c r="BQ81" s="57" t="s">
        <v>395</v>
      </c>
      <c r="BR81" s="57" t="s">
        <v>395</v>
      </c>
      <c r="BS81" s="57" t="s">
        <v>395</v>
      </c>
      <c r="BT81" s="57" t="s">
        <v>395</v>
      </c>
      <c r="BU81" s="57" t="s">
        <v>395</v>
      </c>
      <c r="BV81" s="57" t="s">
        <v>395</v>
      </c>
      <c r="BW81" s="57" t="s">
        <v>395</v>
      </c>
      <c r="BX81" s="57" t="s">
        <v>395</v>
      </c>
      <c r="BY81" s="57" t="s">
        <v>395</v>
      </c>
      <c r="BZ81" s="57" t="s">
        <v>395</v>
      </c>
      <c r="CA81" s="57" t="s">
        <v>395</v>
      </c>
      <c r="CB81" s="57" t="s">
        <v>395</v>
      </c>
      <c r="CC81" s="57" t="s">
        <v>395</v>
      </c>
      <c r="CD81" s="57" t="s">
        <v>395</v>
      </c>
      <c r="CE81" s="57" t="s">
        <v>395</v>
      </c>
      <c r="CF81" s="57" t="s">
        <v>395</v>
      </c>
      <c r="CG81" s="57" t="s">
        <v>395</v>
      </c>
      <c r="CH81" s="57" t="s">
        <v>395</v>
      </c>
      <c r="CI81" s="57" t="s">
        <v>395</v>
      </c>
      <c r="CJ81" s="57" t="s">
        <v>395</v>
      </c>
      <c r="CK81" s="57" t="s">
        <v>395</v>
      </c>
      <c r="CL81" s="57" t="s">
        <v>395</v>
      </c>
      <c r="CM81" s="57" t="s">
        <v>395</v>
      </c>
      <c r="CN81" s="57" t="s">
        <v>395</v>
      </c>
      <c r="CO81" s="57" t="s">
        <v>395</v>
      </c>
      <c r="CP81" s="57" t="s">
        <v>395</v>
      </c>
      <c r="CQ81" s="57" t="s">
        <v>395</v>
      </c>
      <c r="CR81" s="57" t="s">
        <v>395</v>
      </c>
      <c r="CS81" s="57" t="s">
        <v>395</v>
      </c>
      <c r="CT81" s="57" t="s">
        <v>395</v>
      </c>
      <c r="CU81" s="57" t="s">
        <v>395</v>
      </c>
      <c r="CV81" s="57" t="s">
        <v>395</v>
      </c>
      <c r="CW81" s="57" t="s">
        <v>395</v>
      </c>
      <c r="CX81" s="57" t="s">
        <v>395</v>
      </c>
      <c r="CY81" s="59" t="s">
        <v>395</v>
      </c>
      <c r="CZ81" s="64"/>
    </row>
    <row r="82" spans="1:104" x14ac:dyDescent="0.3">
      <c r="A82" s="98" t="s">
        <v>22</v>
      </c>
      <c r="B82" s="98" t="s">
        <v>22</v>
      </c>
      <c r="C82" s="132" t="s">
        <v>20</v>
      </c>
      <c r="D82" s="132"/>
      <c r="E82" s="98"/>
      <c r="F82" s="98"/>
      <c r="G82" s="245">
        <v>44483</v>
      </c>
      <c r="H82" s="1">
        <v>2021</v>
      </c>
      <c r="I82" s="75" t="s">
        <v>33</v>
      </c>
      <c r="J82" s="75">
        <v>10</v>
      </c>
      <c r="K82" s="155">
        <v>0.79</v>
      </c>
      <c r="L82" s="5" t="s">
        <v>394</v>
      </c>
      <c r="M82" s="85">
        <v>0.86932926228700869</v>
      </c>
      <c r="N82" s="86">
        <v>2.1528809218950062</v>
      </c>
      <c r="O82" s="86">
        <v>6.0998719590268884</v>
      </c>
      <c r="P82" s="86">
        <v>4.7044321875307791</v>
      </c>
      <c r="Q82" s="84">
        <v>12.175032010243278</v>
      </c>
      <c r="R82" s="84">
        <v>10.840441248891953</v>
      </c>
      <c r="S82" s="86">
        <v>3.9812764700088641</v>
      </c>
      <c r="T82" s="69">
        <f>SUM(M82:S82)</f>
        <v>40.823264059883783</v>
      </c>
      <c r="U82" s="5">
        <f t="shared" si="10"/>
        <v>228.60020172375314</v>
      </c>
      <c r="V82" s="72" t="s">
        <v>78</v>
      </c>
      <c r="W82" s="67">
        <v>0.65</v>
      </c>
      <c r="X82" s="67">
        <v>0.19</v>
      </c>
      <c r="Y82" s="67">
        <v>0.75</v>
      </c>
      <c r="Z82" s="80" t="s">
        <v>78</v>
      </c>
      <c r="AA82" s="70">
        <v>7.0000000000000007E-2</v>
      </c>
      <c r="AB82" s="70">
        <v>7.5999999999999998E-2</v>
      </c>
      <c r="AC82" s="85" t="s">
        <v>65</v>
      </c>
      <c r="AD82" s="86">
        <v>1.7360000000000002</v>
      </c>
      <c r="AE82" s="5">
        <f t="shared" si="12"/>
        <v>1.736</v>
      </c>
      <c r="AF82" s="81" t="s">
        <v>157</v>
      </c>
      <c r="AG82" s="250" t="s">
        <v>395</v>
      </c>
      <c r="AH82" s="84">
        <v>16.159588361583342</v>
      </c>
      <c r="AI82" s="85" t="s">
        <v>133</v>
      </c>
      <c r="AJ82" s="85" t="s">
        <v>395</v>
      </c>
      <c r="AK82" s="85" t="s">
        <v>395</v>
      </c>
      <c r="AL82" s="85" t="s">
        <v>65</v>
      </c>
      <c r="AM82" s="85" t="s">
        <v>65</v>
      </c>
      <c r="AN82" s="85" t="s">
        <v>46</v>
      </c>
      <c r="AO82" s="85" t="s">
        <v>133</v>
      </c>
      <c r="AP82" s="16" t="s">
        <v>395</v>
      </c>
      <c r="AQ82" s="85">
        <v>0.40502219361521219</v>
      </c>
      <c r="AR82" s="85" t="s">
        <v>69</v>
      </c>
      <c r="AS82" s="86">
        <v>2.2059365109833307</v>
      </c>
      <c r="AT82" s="85">
        <v>0.37097384730440375</v>
      </c>
      <c r="AU82" s="85">
        <v>0.32656687711596838</v>
      </c>
      <c r="AV82" s="85" t="s">
        <v>133</v>
      </c>
      <c r="AW82" s="84" t="s">
        <v>154</v>
      </c>
      <c r="AX82" s="84" t="s">
        <v>395</v>
      </c>
      <c r="AY82" s="84" t="s">
        <v>395</v>
      </c>
      <c r="AZ82" s="84" t="s">
        <v>395</v>
      </c>
      <c r="BA82" s="84" t="s">
        <v>395</v>
      </c>
      <c r="BB82" s="84" t="s">
        <v>395</v>
      </c>
      <c r="BC82" s="5" t="s">
        <v>395</v>
      </c>
      <c r="BD82" s="5" t="s">
        <v>395</v>
      </c>
      <c r="BE82" s="5" t="s">
        <v>395</v>
      </c>
      <c r="BF82" s="5" t="s">
        <v>395</v>
      </c>
      <c r="BG82" s="5" t="s">
        <v>395</v>
      </c>
      <c r="BH82" s="5" t="s">
        <v>395</v>
      </c>
      <c r="BI82" s="5" t="s">
        <v>395</v>
      </c>
      <c r="BJ82" s="5" t="s">
        <v>395</v>
      </c>
      <c r="BK82" s="5" t="s">
        <v>395</v>
      </c>
      <c r="BL82" s="5" t="s">
        <v>395</v>
      </c>
      <c r="BM82" s="5" t="s">
        <v>395</v>
      </c>
      <c r="BN82" s="75">
        <v>75</v>
      </c>
      <c r="BO82" s="57" t="s">
        <v>395</v>
      </c>
      <c r="BP82" s="57" t="s">
        <v>395</v>
      </c>
      <c r="BQ82" s="57" t="s">
        <v>395</v>
      </c>
      <c r="BR82" s="57" t="s">
        <v>395</v>
      </c>
      <c r="BS82" s="57" t="s">
        <v>395</v>
      </c>
      <c r="BT82" s="57" t="s">
        <v>395</v>
      </c>
      <c r="BU82" s="57" t="s">
        <v>395</v>
      </c>
      <c r="BV82" s="57" t="s">
        <v>395</v>
      </c>
      <c r="BW82" s="57" t="s">
        <v>395</v>
      </c>
      <c r="BX82" s="57" t="s">
        <v>395</v>
      </c>
      <c r="BY82" s="57" t="s">
        <v>395</v>
      </c>
      <c r="BZ82" s="57" t="s">
        <v>395</v>
      </c>
      <c r="CA82" s="57" t="s">
        <v>395</v>
      </c>
      <c r="CB82" s="57" t="s">
        <v>395</v>
      </c>
      <c r="CC82" s="57" t="s">
        <v>395</v>
      </c>
      <c r="CD82" s="57" t="s">
        <v>395</v>
      </c>
      <c r="CE82" s="57" t="s">
        <v>395</v>
      </c>
      <c r="CF82" s="57" t="s">
        <v>395</v>
      </c>
      <c r="CG82" s="57" t="s">
        <v>395</v>
      </c>
      <c r="CH82" s="57" t="s">
        <v>395</v>
      </c>
      <c r="CI82" s="57" t="s">
        <v>395</v>
      </c>
      <c r="CJ82" s="57" t="s">
        <v>395</v>
      </c>
      <c r="CK82" s="57" t="s">
        <v>395</v>
      </c>
      <c r="CL82" s="57" t="s">
        <v>395</v>
      </c>
      <c r="CM82" s="57" t="s">
        <v>395</v>
      </c>
      <c r="CN82" s="57" t="s">
        <v>395</v>
      </c>
      <c r="CO82" s="57" t="s">
        <v>395</v>
      </c>
      <c r="CP82" s="57" t="s">
        <v>395</v>
      </c>
      <c r="CQ82" s="57" t="s">
        <v>395</v>
      </c>
      <c r="CR82" s="57" t="s">
        <v>395</v>
      </c>
      <c r="CS82" s="57" t="s">
        <v>395</v>
      </c>
      <c r="CT82" s="57" t="s">
        <v>395</v>
      </c>
      <c r="CU82" s="57" t="s">
        <v>395</v>
      </c>
      <c r="CV82" s="57" t="s">
        <v>395</v>
      </c>
      <c r="CW82" s="57" t="s">
        <v>395</v>
      </c>
      <c r="CX82" s="57" t="s">
        <v>395</v>
      </c>
      <c r="CY82" s="59" t="s">
        <v>395</v>
      </c>
      <c r="CZ82" s="64"/>
    </row>
    <row r="83" spans="1:104" x14ac:dyDescent="0.3">
      <c r="A83" s="98" t="s">
        <v>21</v>
      </c>
      <c r="B83" s="98" t="s">
        <v>21</v>
      </c>
      <c r="C83" s="132" t="s">
        <v>20</v>
      </c>
      <c r="D83" s="132"/>
      <c r="E83" s="98"/>
      <c r="F83" s="98"/>
      <c r="G83" s="245">
        <v>44097</v>
      </c>
      <c r="H83" s="1">
        <v>2020</v>
      </c>
      <c r="I83" s="75" t="s">
        <v>33</v>
      </c>
      <c r="J83" s="75">
        <v>10</v>
      </c>
      <c r="K83" s="155">
        <v>0.60671298561505971</v>
      </c>
      <c r="L83" s="5" t="s">
        <v>394</v>
      </c>
      <c r="M83" s="5">
        <v>1.7459385398316696E-2</v>
      </c>
      <c r="N83" s="5">
        <v>7.0229007633587789E-2</v>
      </c>
      <c r="O83" s="5">
        <v>0.81794871794871793</v>
      </c>
      <c r="P83" s="5">
        <v>0.72689371697005278</v>
      </c>
      <c r="Q83" s="5">
        <v>3.6975631238990019</v>
      </c>
      <c r="R83" s="5">
        <v>3.1140144842434916</v>
      </c>
      <c r="S83" s="5">
        <v>1.5226560970835781</v>
      </c>
      <c r="T83" s="5">
        <v>9.9667645331767467</v>
      </c>
      <c r="U83" s="5">
        <f t="shared" si="10"/>
        <v>76.146967637751374</v>
      </c>
      <c r="V83" s="5" t="s">
        <v>76</v>
      </c>
      <c r="W83" s="5">
        <v>0.11257878679695517</v>
      </c>
      <c r="X83" s="5">
        <v>3.6787205148025991E-2</v>
      </c>
      <c r="Y83" s="5">
        <v>6.0628168373504557E-2</v>
      </c>
      <c r="Z83" s="5">
        <v>7.0000000000000001E-3</v>
      </c>
      <c r="AA83" s="5">
        <v>2.5765060204124886E-2</v>
      </c>
      <c r="AB83" s="5">
        <v>2.8096912833875061E-2</v>
      </c>
      <c r="AC83" s="5">
        <v>0.36530093660514545</v>
      </c>
      <c r="AD83" s="5">
        <v>0.63615706996163113</v>
      </c>
      <c r="AE83" s="5">
        <f>SUM(V83,W83,Y83,X83,AB83,AA83)</f>
        <v>0.26385613335648567</v>
      </c>
      <c r="AF83" s="66">
        <v>1.1548248189469562E-2</v>
      </c>
      <c r="AG83" s="250">
        <f t="shared" ref="AG83:AG97" si="13">AF83*(5/K83)</f>
        <v>9.5170603425954722E-2</v>
      </c>
      <c r="AH83" s="86">
        <v>16.567728819998116</v>
      </c>
      <c r="AI83" s="85" t="s">
        <v>69</v>
      </c>
      <c r="AJ83" s="85" t="s">
        <v>395</v>
      </c>
      <c r="AK83" s="85" t="s">
        <v>395</v>
      </c>
      <c r="AL83" s="85" t="s">
        <v>69</v>
      </c>
      <c r="AM83" s="85" t="s">
        <v>126</v>
      </c>
      <c r="AN83" s="85">
        <v>0.64326484101515002</v>
      </c>
      <c r="AO83" s="87">
        <v>0.39806280583162135</v>
      </c>
      <c r="AP83" s="16" t="s">
        <v>395</v>
      </c>
      <c r="AQ83" s="87">
        <v>0.40883376517992498</v>
      </c>
      <c r="AR83" s="87" t="s">
        <v>65</v>
      </c>
      <c r="AS83" s="87" t="s">
        <v>131</v>
      </c>
      <c r="AT83" s="87" t="s">
        <v>131</v>
      </c>
      <c r="AU83" s="87" t="s">
        <v>131</v>
      </c>
      <c r="AV83" s="87" t="s">
        <v>65</v>
      </c>
      <c r="AW83" s="85" t="s">
        <v>126</v>
      </c>
      <c r="AX83" s="85" t="s">
        <v>395</v>
      </c>
      <c r="AY83" s="85" t="s">
        <v>395</v>
      </c>
      <c r="AZ83" s="85" t="s">
        <v>395</v>
      </c>
      <c r="BA83" s="85" t="s">
        <v>395</v>
      </c>
      <c r="BB83" s="85" t="s">
        <v>395</v>
      </c>
      <c r="BC83" s="5" t="s">
        <v>395</v>
      </c>
      <c r="BD83" s="5" t="s">
        <v>395</v>
      </c>
      <c r="BE83" s="5" t="s">
        <v>395</v>
      </c>
      <c r="BF83" s="5" t="s">
        <v>395</v>
      </c>
      <c r="BG83" s="5" t="s">
        <v>395</v>
      </c>
      <c r="BH83" s="5" t="s">
        <v>395</v>
      </c>
      <c r="BI83" s="5" t="s">
        <v>395</v>
      </c>
      <c r="BJ83" s="5" t="s">
        <v>395</v>
      </c>
      <c r="BK83" s="5" t="s">
        <v>395</v>
      </c>
      <c r="BL83" s="5" t="s">
        <v>395</v>
      </c>
      <c r="BM83" s="5" t="s">
        <v>395</v>
      </c>
      <c r="BN83" s="5">
        <v>71</v>
      </c>
      <c r="BO83" s="57" t="s">
        <v>395</v>
      </c>
      <c r="BP83" s="57" t="s">
        <v>395</v>
      </c>
      <c r="BQ83" s="57" t="s">
        <v>395</v>
      </c>
      <c r="BR83" s="57" t="s">
        <v>395</v>
      </c>
      <c r="BS83" s="57" t="s">
        <v>395</v>
      </c>
      <c r="BT83" s="57" t="s">
        <v>395</v>
      </c>
      <c r="BU83" s="57" t="s">
        <v>395</v>
      </c>
      <c r="BV83" s="57" t="s">
        <v>395</v>
      </c>
      <c r="BW83" s="57" t="s">
        <v>395</v>
      </c>
      <c r="BX83" s="57" t="s">
        <v>395</v>
      </c>
      <c r="BY83" s="57" t="s">
        <v>395</v>
      </c>
      <c r="BZ83" s="57" t="s">
        <v>395</v>
      </c>
      <c r="CA83" s="57" t="s">
        <v>395</v>
      </c>
      <c r="CB83" s="57" t="s">
        <v>395</v>
      </c>
      <c r="CC83" s="57" t="s">
        <v>395</v>
      </c>
      <c r="CD83" s="57" t="s">
        <v>395</v>
      </c>
      <c r="CE83" s="57" t="s">
        <v>395</v>
      </c>
      <c r="CF83" s="57" t="s">
        <v>395</v>
      </c>
      <c r="CG83" s="57" t="s">
        <v>395</v>
      </c>
      <c r="CH83" s="57" t="s">
        <v>395</v>
      </c>
      <c r="CI83" s="57" t="s">
        <v>395</v>
      </c>
      <c r="CJ83" s="57" t="s">
        <v>395</v>
      </c>
      <c r="CK83" s="57" t="s">
        <v>395</v>
      </c>
      <c r="CL83" s="57" t="s">
        <v>395</v>
      </c>
      <c r="CM83" s="57" t="s">
        <v>395</v>
      </c>
      <c r="CN83" s="57" t="s">
        <v>395</v>
      </c>
      <c r="CO83" s="57" t="s">
        <v>395</v>
      </c>
      <c r="CP83" s="57" t="s">
        <v>395</v>
      </c>
      <c r="CQ83" s="57" t="s">
        <v>395</v>
      </c>
      <c r="CR83" s="57" t="s">
        <v>395</v>
      </c>
      <c r="CS83" s="57" t="s">
        <v>395</v>
      </c>
      <c r="CT83" s="57" t="s">
        <v>395</v>
      </c>
      <c r="CU83" s="57" t="s">
        <v>395</v>
      </c>
      <c r="CV83" s="57" t="s">
        <v>395</v>
      </c>
      <c r="CW83" s="57" t="s">
        <v>395</v>
      </c>
      <c r="CX83" s="57" t="s">
        <v>395</v>
      </c>
      <c r="CY83" s="59" t="s">
        <v>395</v>
      </c>
    </row>
    <row r="84" spans="1:104" x14ac:dyDescent="0.3">
      <c r="A84" s="98" t="s">
        <v>30</v>
      </c>
      <c r="B84" s="98" t="s">
        <v>30</v>
      </c>
      <c r="C84" s="132" t="s">
        <v>20</v>
      </c>
      <c r="D84" s="132"/>
      <c r="E84" s="98"/>
      <c r="F84" s="98"/>
      <c r="G84" s="245">
        <v>44077</v>
      </c>
      <c r="H84" s="1">
        <v>2020</v>
      </c>
      <c r="I84" s="75" t="s">
        <v>33</v>
      </c>
      <c r="J84" s="75">
        <v>10</v>
      </c>
      <c r="K84" s="155">
        <v>0.43851798818687371</v>
      </c>
      <c r="L84" s="5" t="s">
        <v>394</v>
      </c>
      <c r="M84" s="5">
        <v>5.4271682727946635E-2</v>
      </c>
      <c r="N84" s="5">
        <v>0.30381764269829503</v>
      </c>
      <c r="O84" s="5">
        <v>2.104966641957005</v>
      </c>
      <c r="P84" s="5">
        <v>2.66890752409192</v>
      </c>
      <c r="Q84" s="5">
        <v>5.4643346923647149</v>
      </c>
      <c r="R84" s="5">
        <v>4.5874722016308382</v>
      </c>
      <c r="S84" s="5">
        <v>1.6819171608598964</v>
      </c>
      <c r="T84" s="5">
        <v>16.865687546330616</v>
      </c>
      <c r="U84" s="5">
        <f t="shared" si="10"/>
        <v>161.8722652739705</v>
      </c>
      <c r="V84" s="5" t="s">
        <v>76</v>
      </c>
      <c r="W84" s="5">
        <v>4.1707016419202839E-2</v>
      </c>
      <c r="X84" s="5">
        <v>1.5733358416001847E-2</v>
      </c>
      <c r="Y84" s="5">
        <v>2.5052444865203624E-2</v>
      </c>
      <c r="Z84" s="5">
        <v>8.0000000000000002E-3</v>
      </c>
      <c r="AA84" s="5">
        <v>1.409222441209124E-2</v>
      </c>
      <c r="AB84" s="5">
        <v>1.7498859264261788E-2</v>
      </c>
      <c r="AC84" s="5">
        <v>0.34257739051548147</v>
      </c>
      <c r="AD84" s="5">
        <v>0.46466129389224281</v>
      </c>
      <c r="AE84" s="5">
        <f t="shared" ref="AE84:AE97" si="14">SUM(V84,W84,Y84,X84,AB84,AA84)</f>
        <v>0.11408390337676133</v>
      </c>
      <c r="AF84" s="66">
        <v>8.0615270570793176E-3</v>
      </c>
      <c r="AG84" s="250">
        <f t="shared" si="13"/>
        <v>9.1917860546736702E-2</v>
      </c>
      <c r="AH84" s="88">
        <v>1.0783181778163478</v>
      </c>
      <c r="AI84" s="85" t="s">
        <v>69</v>
      </c>
      <c r="AJ84" s="85" t="s">
        <v>395</v>
      </c>
      <c r="AK84" s="85" t="s">
        <v>395</v>
      </c>
      <c r="AL84" s="85" t="s">
        <v>69</v>
      </c>
      <c r="AM84" s="85" t="s">
        <v>126</v>
      </c>
      <c r="AN84" s="85" t="s">
        <v>69</v>
      </c>
      <c r="AO84" s="87" t="s">
        <v>126</v>
      </c>
      <c r="AP84" s="16" t="s">
        <v>395</v>
      </c>
      <c r="AQ84" s="87" t="s">
        <v>69</v>
      </c>
      <c r="AR84" s="87" t="s">
        <v>65</v>
      </c>
      <c r="AS84" s="87" t="s">
        <v>131</v>
      </c>
      <c r="AT84" s="87" t="s">
        <v>131</v>
      </c>
      <c r="AU84" s="87" t="s">
        <v>131</v>
      </c>
      <c r="AV84" s="87" t="s">
        <v>65</v>
      </c>
      <c r="AW84" s="85" t="s">
        <v>126</v>
      </c>
      <c r="AX84" s="85" t="s">
        <v>395</v>
      </c>
      <c r="AY84" s="85" t="s">
        <v>395</v>
      </c>
      <c r="AZ84" s="85" t="s">
        <v>395</v>
      </c>
      <c r="BA84" s="85" t="s">
        <v>395</v>
      </c>
      <c r="BB84" s="85" t="s">
        <v>395</v>
      </c>
      <c r="BC84" s="5" t="s">
        <v>395</v>
      </c>
      <c r="BD84" s="5" t="s">
        <v>395</v>
      </c>
      <c r="BE84" s="5" t="s">
        <v>395</v>
      </c>
      <c r="BF84" s="5" t="s">
        <v>395</v>
      </c>
      <c r="BG84" s="5" t="s">
        <v>395</v>
      </c>
      <c r="BH84" s="5" t="s">
        <v>395</v>
      </c>
      <c r="BI84" s="5" t="s">
        <v>395</v>
      </c>
      <c r="BJ84" s="5" t="s">
        <v>395</v>
      </c>
      <c r="BK84" s="5" t="s">
        <v>395</v>
      </c>
      <c r="BL84" s="5" t="s">
        <v>395</v>
      </c>
      <c r="BM84" s="5" t="s">
        <v>395</v>
      </c>
      <c r="BN84" s="5">
        <v>73</v>
      </c>
      <c r="BO84" s="57" t="s">
        <v>395</v>
      </c>
      <c r="BP84" s="57" t="s">
        <v>395</v>
      </c>
      <c r="BQ84" s="57" t="s">
        <v>395</v>
      </c>
      <c r="BR84" s="57" t="s">
        <v>395</v>
      </c>
      <c r="BS84" s="57" t="s">
        <v>395</v>
      </c>
      <c r="BT84" s="57" t="s">
        <v>395</v>
      </c>
      <c r="BU84" s="57" t="s">
        <v>395</v>
      </c>
      <c r="BV84" s="57" t="s">
        <v>395</v>
      </c>
      <c r="BW84" s="57" t="s">
        <v>395</v>
      </c>
      <c r="BX84" s="57" t="s">
        <v>395</v>
      </c>
      <c r="BY84" s="57" t="s">
        <v>395</v>
      </c>
      <c r="BZ84" s="57" t="s">
        <v>395</v>
      </c>
      <c r="CA84" s="57" t="s">
        <v>395</v>
      </c>
      <c r="CB84" s="57" t="s">
        <v>395</v>
      </c>
      <c r="CC84" s="57" t="s">
        <v>395</v>
      </c>
      <c r="CD84" s="57" t="s">
        <v>395</v>
      </c>
      <c r="CE84" s="57" t="s">
        <v>395</v>
      </c>
      <c r="CF84" s="57" t="s">
        <v>395</v>
      </c>
      <c r="CG84" s="57" t="s">
        <v>395</v>
      </c>
      <c r="CH84" s="57" t="s">
        <v>395</v>
      </c>
      <c r="CI84" s="57" t="s">
        <v>395</v>
      </c>
      <c r="CJ84" s="57" t="s">
        <v>395</v>
      </c>
      <c r="CK84" s="57" t="s">
        <v>395</v>
      </c>
      <c r="CL84" s="57" t="s">
        <v>395</v>
      </c>
      <c r="CM84" s="57" t="s">
        <v>395</v>
      </c>
      <c r="CN84" s="57" t="s">
        <v>395</v>
      </c>
      <c r="CO84" s="57" t="s">
        <v>395</v>
      </c>
      <c r="CP84" s="57" t="s">
        <v>395</v>
      </c>
      <c r="CQ84" s="57" t="s">
        <v>395</v>
      </c>
      <c r="CR84" s="57" t="s">
        <v>395</v>
      </c>
      <c r="CS84" s="57" t="s">
        <v>395</v>
      </c>
      <c r="CT84" s="57" t="s">
        <v>395</v>
      </c>
      <c r="CU84" s="57" t="s">
        <v>395</v>
      </c>
      <c r="CV84" s="57" t="s">
        <v>395</v>
      </c>
      <c r="CW84" s="57" t="s">
        <v>395</v>
      </c>
      <c r="CX84" s="57" t="s">
        <v>395</v>
      </c>
      <c r="CY84" s="59" t="s">
        <v>395</v>
      </c>
    </row>
    <row r="85" spans="1:104" x14ac:dyDescent="0.3">
      <c r="A85" s="98" t="s">
        <v>7</v>
      </c>
      <c r="B85" s="98" t="s">
        <v>7</v>
      </c>
      <c r="C85" s="132" t="s">
        <v>20</v>
      </c>
      <c r="D85" s="132"/>
      <c r="E85" s="98"/>
      <c r="F85" s="98"/>
      <c r="G85" s="245">
        <v>44076</v>
      </c>
      <c r="H85" s="1">
        <v>2020</v>
      </c>
      <c r="I85" s="75" t="s">
        <v>33</v>
      </c>
      <c r="J85" s="75">
        <v>10</v>
      </c>
      <c r="K85" s="155">
        <v>0.52770448548813109</v>
      </c>
      <c r="L85" s="5" t="s">
        <v>394</v>
      </c>
      <c r="M85" s="5">
        <v>4.2523582702904635E-2</v>
      </c>
      <c r="N85" s="5">
        <v>0.23705986737648263</v>
      </c>
      <c r="O85" s="5">
        <v>1.3099280844307462</v>
      </c>
      <c r="P85" s="5">
        <v>1.4793125992341458</v>
      </c>
      <c r="Q85" s="5">
        <v>3.7289343420192393</v>
      </c>
      <c r="R85" s="5">
        <v>3.2616045577659469</v>
      </c>
      <c r="S85" s="5">
        <v>1.3299990660315679</v>
      </c>
      <c r="T85" s="5">
        <v>11.389362099561033</v>
      </c>
      <c r="U85" s="5">
        <f t="shared" si="10"/>
        <v>93.897719015596465</v>
      </c>
      <c r="V85" s="5">
        <v>1.1459018423260735E-2</v>
      </c>
      <c r="W85" s="5">
        <v>0.2540326066550147</v>
      </c>
      <c r="X85" s="5">
        <v>9.1683392742732864E-2</v>
      </c>
      <c r="Y85" s="5">
        <v>0.23208167048013253</v>
      </c>
      <c r="Z85" s="5">
        <v>8.0000000000000002E-3</v>
      </c>
      <c r="AA85" s="5">
        <v>4.1146759971257142E-2</v>
      </c>
      <c r="AB85" s="5">
        <v>4.4880218378050632E-2</v>
      </c>
      <c r="AC85" s="5">
        <v>0.35680039844952444</v>
      </c>
      <c r="AD85" s="5">
        <v>1.0400840650999732</v>
      </c>
      <c r="AE85" s="5">
        <f t="shared" si="14"/>
        <v>0.6752836666504487</v>
      </c>
      <c r="AF85" s="66">
        <v>0.15840104604464367</v>
      </c>
      <c r="AG85" s="250">
        <f t="shared" si="13"/>
        <v>1.5008499112729861</v>
      </c>
      <c r="AH85" s="88">
        <v>12.137726807731655</v>
      </c>
      <c r="AI85" s="85" t="s">
        <v>69</v>
      </c>
      <c r="AJ85" s="85" t="s">
        <v>395</v>
      </c>
      <c r="AK85" s="85" t="s">
        <v>395</v>
      </c>
      <c r="AL85" s="85" t="s">
        <v>69</v>
      </c>
      <c r="AM85" s="85" t="s">
        <v>126</v>
      </c>
      <c r="AN85" s="86">
        <v>3.3358773488397135</v>
      </c>
      <c r="AO85" s="87">
        <v>0.68203171270123297</v>
      </c>
      <c r="AP85" s="16" t="s">
        <v>395</v>
      </c>
      <c r="AQ85" s="87">
        <v>0.97818069240295047</v>
      </c>
      <c r="AR85" s="87" t="s">
        <v>65</v>
      </c>
      <c r="AS85" s="87">
        <v>0.77935713131965745</v>
      </c>
      <c r="AT85" s="87" t="s">
        <v>131</v>
      </c>
      <c r="AU85" s="87" t="s">
        <v>131</v>
      </c>
      <c r="AV85" s="87">
        <v>0.22723846443762449</v>
      </c>
      <c r="AW85" s="85" t="s">
        <v>126</v>
      </c>
      <c r="AX85" s="85" t="s">
        <v>395</v>
      </c>
      <c r="AY85" s="85" t="s">
        <v>395</v>
      </c>
      <c r="AZ85" s="85" t="s">
        <v>395</v>
      </c>
      <c r="BA85" s="85" t="s">
        <v>395</v>
      </c>
      <c r="BB85" s="85" t="s">
        <v>395</v>
      </c>
      <c r="BC85" s="5" t="s">
        <v>395</v>
      </c>
      <c r="BD85" s="5" t="s">
        <v>395</v>
      </c>
      <c r="BE85" s="5" t="s">
        <v>395</v>
      </c>
      <c r="BF85" s="5" t="s">
        <v>395</v>
      </c>
      <c r="BG85" s="5" t="s">
        <v>395</v>
      </c>
      <c r="BH85" s="5" t="s">
        <v>395</v>
      </c>
      <c r="BI85" s="5" t="s">
        <v>395</v>
      </c>
      <c r="BJ85" s="5" t="s">
        <v>395</v>
      </c>
      <c r="BK85" s="5" t="s">
        <v>395</v>
      </c>
      <c r="BL85" s="5" t="s">
        <v>395</v>
      </c>
      <c r="BM85" s="5" t="s">
        <v>395</v>
      </c>
      <c r="BN85" s="5">
        <v>150</v>
      </c>
      <c r="BO85" s="57" t="s">
        <v>395</v>
      </c>
      <c r="BP85" s="57" t="s">
        <v>395</v>
      </c>
      <c r="BQ85" s="57" t="s">
        <v>395</v>
      </c>
      <c r="BR85" s="57" t="s">
        <v>395</v>
      </c>
      <c r="BS85" s="57" t="s">
        <v>395</v>
      </c>
      <c r="BT85" s="57" t="s">
        <v>395</v>
      </c>
      <c r="BU85" s="57" t="s">
        <v>395</v>
      </c>
      <c r="BV85" s="57" t="s">
        <v>395</v>
      </c>
      <c r="BW85" s="57" t="s">
        <v>395</v>
      </c>
      <c r="BX85" s="57" t="s">
        <v>395</v>
      </c>
      <c r="BY85" s="57" t="s">
        <v>395</v>
      </c>
      <c r="BZ85" s="57" t="s">
        <v>395</v>
      </c>
      <c r="CA85" s="57" t="s">
        <v>395</v>
      </c>
      <c r="CB85" s="57" t="s">
        <v>395</v>
      </c>
      <c r="CC85" s="57" t="s">
        <v>395</v>
      </c>
      <c r="CD85" s="57" t="s">
        <v>395</v>
      </c>
      <c r="CE85" s="57" t="s">
        <v>395</v>
      </c>
      <c r="CF85" s="57" t="s">
        <v>395</v>
      </c>
      <c r="CG85" s="57" t="s">
        <v>395</v>
      </c>
      <c r="CH85" s="57" t="s">
        <v>395</v>
      </c>
      <c r="CI85" s="57" t="s">
        <v>395</v>
      </c>
      <c r="CJ85" s="57" t="s">
        <v>395</v>
      </c>
      <c r="CK85" s="57" t="s">
        <v>395</v>
      </c>
      <c r="CL85" s="57" t="s">
        <v>395</v>
      </c>
      <c r="CM85" s="57" t="s">
        <v>395</v>
      </c>
      <c r="CN85" s="57" t="s">
        <v>395</v>
      </c>
      <c r="CO85" s="57" t="s">
        <v>395</v>
      </c>
      <c r="CP85" s="57" t="s">
        <v>395</v>
      </c>
      <c r="CQ85" s="57" t="s">
        <v>395</v>
      </c>
      <c r="CR85" s="57" t="s">
        <v>395</v>
      </c>
      <c r="CS85" s="57" t="s">
        <v>395</v>
      </c>
      <c r="CT85" s="57" t="s">
        <v>395</v>
      </c>
      <c r="CU85" s="57" t="s">
        <v>395</v>
      </c>
      <c r="CV85" s="57" t="s">
        <v>395</v>
      </c>
      <c r="CW85" s="57" t="s">
        <v>395</v>
      </c>
      <c r="CX85" s="57" t="s">
        <v>395</v>
      </c>
      <c r="CY85" s="59" t="s">
        <v>395</v>
      </c>
    </row>
    <row r="86" spans="1:104" x14ac:dyDescent="0.3">
      <c r="A86" s="98" t="s">
        <v>5</v>
      </c>
      <c r="B86" s="98" t="s">
        <v>5</v>
      </c>
      <c r="C86" s="132" t="s">
        <v>20</v>
      </c>
      <c r="D86" s="132"/>
      <c r="E86" s="98"/>
      <c r="F86" s="98"/>
      <c r="G86" s="245">
        <v>44067</v>
      </c>
      <c r="H86" s="1">
        <v>2020</v>
      </c>
      <c r="I86" s="75" t="s">
        <v>33</v>
      </c>
      <c r="J86" s="75">
        <v>10</v>
      </c>
      <c r="K86" s="155">
        <v>0.54378398649917126</v>
      </c>
      <c r="L86" s="5" t="s">
        <v>394</v>
      </c>
      <c r="M86" s="5">
        <v>0.82592342559552512</v>
      </c>
      <c r="N86" s="5">
        <v>2.4838267913974348</v>
      </c>
      <c r="O86" s="5">
        <v>9.7939531295206876</v>
      </c>
      <c r="P86" s="5">
        <v>8.814215449898736</v>
      </c>
      <c r="Q86" s="5">
        <v>15.305670749349021</v>
      </c>
      <c r="R86" s="5">
        <v>14.554055357315073</v>
      </c>
      <c r="S86" s="5">
        <v>3.7771626964991802</v>
      </c>
      <c r="T86" s="5">
        <v>55.554807599575661</v>
      </c>
      <c r="U86" s="5">
        <f t="shared" si="10"/>
        <v>429.77168609348297</v>
      </c>
      <c r="V86" s="5">
        <v>2.0900971351692679E-2</v>
      </c>
      <c r="W86" s="5">
        <v>0.33061536501768424</v>
      </c>
      <c r="X86" s="5">
        <v>9.9862724852371604E-2</v>
      </c>
      <c r="Y86" s="5">
        <v>0.17976883361826038</v>
      </c>
      <c r="Z86" s="5">
        <v>1.3732973555521536E-2</v>
      </c>
      <c r="AA86" s="5">
        <v>5.4135450022511578E-2</v>
      </c>
      <c r="AB86" s="5">
        <v>6.4534735714099553E-2</v>
      </c>
      <c r="AC86" s="5">
        <v>0.95651074359259103</v>
      </c>
      <c r="AD86" s="5">
        <v>1.7200617977247326</v>
      </c>
      <c r="AE86" s="5">
        <f t="shared" si="14"/>
        <v>0.74981808057661992</v>
      </c>
      <c r="AF86" s="66">
        <v>3.8865850130195778E-2</v>
      </c>
      <c r="AG86" s="250">
        <f t="shared" si="13"/>
        <v>0.35736479093849716</v>
      </c>
      <c r="AH86" s="88">
        <v>9.4605074687947628</v>
      </c>
      <c r="AI86" s="85" t="s">
        <v>69</v>
      </c>
      <c r="AJ86" s="85" t="s">
        <v>395</v>
      </c>
      <c r="AK86" s="85" t="s">
        <v>395</v>
      </c>
      <c r="AL86" s="85" t="s">
        <v>69</v>
      </c>
      <c r="AM86" s="85" t="s">
        <v>126</v>
      </c>
      <c r="AN86" s="85">
        <v>0.54134694086351554</v>
      </c>
      <c r="AO86" s="87" t="s">
        <v>126</v>
      </c>
      <c r="AP86" s="16" t="s">
        <v>395</v>
      </c>
      <c r="AQ86" s="87">
        <v>0.47282330673214651</v>
      </c>
      <c r="AR86" s="87" t="s">
        <v>65</v>
      </c>
      <c r="AS86" s="87">
        <v>0.82489257213014122</v>
      </c>
      <c r="AT86" s="87" t="s">
        <v>131</v>
      </c>
      <c r="AU86" s="87" t="s">
        <v>131</v>
      </c>
      <c r="AV86" s="87" t="s">
        <v>65</v>
      </c>
      <c r="AW86" s="85" t="s">
        <v>126</v>
      </c>
      <c r="AX86" s="85" t="s">
        <v>395</v>
      </c>
      <c r="AY86" s="85" t="s">
        <v>395</v>
      </c>
      <c r="AZ86" s="85" t="s">
        <v>395</v>
      </c>
      <c r="BA86" s="85" t="s">
        <v>395</v>
      </c>
      <c r="BB86" s="85" t="s">
        <v>395</v>
      </c>
      <c r="BC86" s="5" t="s">
        <v>395</v>
      </c>
      <c r="BD86" s="5" t="s">
        <v>395</v>
      </c>
      <c r="BE86" s="5" t="s">
        <v>395</v>
      </c>
      <c r="BF86" s="5" t="s">
        <v>395</v>
      </c>
      <c r="BG86" s="5" t="s">
        <v>395</v>
      </c>
      <c r="BH86" s="5" t="s">
        <v>395</v>
      </c>
      <c r="BI86" s="5" t="s">
        <v>395</v>
      </c>
      <c r="BJ86" s="5" t="s">
        <v>395</v>
      </c>
      <c r="BK86" s="5" t="s">
        <v>395</v>
      </c>
      <c r="BL86" s="5" t="s">
        <v>395</v>
      </c>
      <c r="BM86" s="5" t="s">
        <v>395</v>
      </c>
      <c r="BN86" s="5">
        <v>96</v>
      </c>
      <c r="BO86" s="57" t="s">
        <v>395</v>
      </c>
      <c r="BP86" s="57" t="s">
        <v>395</v>
      </c>
      <c r="BQ86" s="57" t="s">
        <v>395</v>
      </c>
      <c r="BR86" s="57" t="s">
        <v>395</v>
      </c>
      <c r="BS86" s="57" t="s">
        <v>395</v>
      </c>
      <c r="BT86" s="57" t="s">
        <v>395</v>
      </c>
      <c r="BU86" s="57" t="s">
        <v>395</v>
      </c>
      <c r="BV86" s="57" t="s">
        <v>395</v>
      </c>
      <c r="BW86" s="57" t="s">
        <v>395</v>
      </c>
      <c r="BX86" s="57" t="s">
        <v>395</v>
      </c>
      <c r="BY86" s="57" t="s">
        <v>395</v>
      </c>
      <c r="BZ86" s="57" t="s">
        <v>395</v>
      </c>
      <c r="CA86" s="57" t="s">
        <v>395</v>
      </c>
      <c r="CB86" s="57" t="s">
        <v>395</v>
      </c>
      <c r="CC86" s="57" t="s">
        <v>395</v>
      </c>
      <c r="CD86" s="57" t="s">
        <v>395</v>
      </c>
      <c r="CE86" s="57" t="s">
        <v>395</v>
      </c>
      <c r="CF86" s="57" t="s">
        <v>395</v>
      </c>
      <c r="CG86" s="57" t="s">
        <v>395</v>
      </c>
      <c r="CH86" s="57" t="s">
        <v>395</v>
      </c>
      <c r="CI86" s="57" t="s">
        <v>395</v>
      </c>
      <c r="CJ86" s="57" t="s">
        <v>395</v>
      </c>
      <c r="CK86" s="57" t="s">
        <v>395</v>
      </c>
      <c r="CL86" s="57" t="s">
        <v>395</v>
      </c>
      <c r="CM86" s="57" t="s">
        <v>395</v>
      </c>
      <c r="CN86" s="57" t="s">
        <v>395</v>
      </c>
      <c r="CO86" s="57" t="s">
        <v>395</v>
      </c>
      <c r="CP86" s="57" t="s">
        <v>395</v>
      </c>
      <c r="CQ86" s="57" t="s">
        <v>395</v>
      </c>
      <c r="CR86" s="57" t="s">
        <v>395</v>
      </c>
      <c r="CS86" s="57" t="s">
        <v>395</v>
      </c>
      <c r="CT86" s="57" t="s">
        <v>395</v>
      </c>
      <c r="CU86" s="57" t="s">
        <v>395</v>
      </c>
      <c r="CV86" s="57" t="s">
        <v>395</v>
      </c>
      <c r="CW86" s="57" t="s">
        <v>395</v>
      </c>
      <c r="CX86" s="57" t="s">
        <v>395</v>
      </c>
      <c r="CY86" s="59" t="s">
        <v>395</v>
      </c>
    </row>
    <row r="87" spans="1:104" x14ac:dyDescent="0.3">
      <c r="A87" s="98" t="s">
        <v>79</v>
      </c>
      <c r="B87" s="98" t="s">
        <v>79</v>
      </c>
      <c r="C87" s="132" t="s">
        <v>20</v>
      </c>
      <c r="D87" s="132"/>
      <c r="E87" s="98"/>
      <c r="F87" s="98"/>
      <c r="G87" s="245">
        <v>44075</v>
      </c>
      <c r="H87" s="1">
        <v>2020</v>
      </c>
      <c r="I87" s="75" t="s">
        <v>33</v>
      </c>
      <c r="J87" s="75">
        <v>10</v>
      </c>
      <c r="K87" s="155">
        <v>0.78185411117794557</v>
      </c>
      <c r="L87" s="5" t="s">
        <v>394</v>
      </c>
      <c r="M87" s="5">
        <v>0.22215909090909092</v>
      </c>
      <c r="N87" s="5">
        <v>0.66855739599383668</v>
      </c>
      <c r="O87" s="5">
        <v>2.8267623266563944</v>
      </c>
      <c r="P87" s="5">
        <v>2.4805855161787367</v>
      </c>
      <c r="Q87" s="5">
        <v>5.4529275808936823</v>
      </c>
      <c r="R87" s="5">
        <v>5.0670261941448382</v>
      </c>
      <c r="S87" s="5">
        <v>1.8378466872110939</v>
      </c>
      <c r="T87" s="5">
        <v>18.555864791987673</v>
      </c>
      <c r="U87" s="5">
        <f t="shared" si="10"/>
        <v>102.80229422589998</v>
      </c>
      <c r="V87" s="5">
        <v>8.0000000000000002E-3</v>
      </c>
      <c r="W87" s="5">
        <v>6.9937751761792247E-2</v>
      </c>
      <c r="X87" s="5">
        <v>2.0207775316541651E-2</v>
      </c>
      <c r="Y87" s="5">
        <v>2.6560189241002657E-2</v>
      </c>
      <c r="Z87" s="5">
        <v>8.0000000000000002E-3</v>
      </c>
      <c r="AA87" s="5">
        <v>1.1529814868674887E-2</v>
      </c>
      <c r="AB87" s="5">
        <v>2.9093810979660514E-2</v>
      </c>
      <c r="AC87" s="5" t="s">
        <v>128</v>
      </c>
      <c r="AD87" s="5">
        <v>0.17332934216767196</v>
      </c>
      <c r="AE87" s="5">
        <f t="shared" si="14"/>
        <v>0.16532934216767195</v>
      </c>
      <c r="AF87" s="66">
        <v>1.9356702619414485E-2</v>
      </c>
      <c r="AG87" s="250">
        <f t="shared" si="13"/>
        <v>0.12378717680624314</v>
      </c>
      <c r="AH87" s="88">
        <v>4.0276958045631215</v>
      </c>
      <c r="AI87" s="85" t="s">
        <v>69</v>
      </c>
      <c r="AJ87" s="85" t="s">
        <v>395</v>
      </c>
      <c r="AK87" s="85" t="s">
        <v>395</v>
      </c>
      <c r="AL87" s="85" t="s">
        <v>69</v>
      </c>
      <c r="AM87" s="85" t="s">
        <v>126</v>
      </c>
      <c r="AN87" s="85">
        <v>0.46155535818315518</v>
      </c>
      <c r="AO87" s="87" t="s">
        <v>126</v>
      </c>
      <c r="AP87" s="16" t="s">
        <v>395</v>
      </c>
      <c r="AQ87" s="87">
        <v>0.29864672568738121</v>
      </c>
      <c r="AR87" s="87" t="s">
        <v>65</v>
      </c>
      <c r="AS87" s="87" t="s">
        <v>131</v>
      </c>
      <c r="AT87" s="87" t="s">
        <v>131</v>
      </c>
      <c r="AU87" s="87" t="s">
        <v>131</v>
      </c>
      <c r="AV87" s="87" t="s">
        <v>65</v>
      </c>
      <c r="AW87" s="85" t="s">
        <v>126</v>
      </c>
      <c r="AX87" s="85" t="s">
        <v>395</v>
      </c>
      <c r="AY87" s="85" t="s">
        <v>395</v>
      </c>
      <c r="AZ87" s="85" t="s">
        <v>395</v>
      </c>
      <c r="BA87" s="85" t="s">
        <v>395</v>
      </c>
      <c r="BB87" s="85" t="s">
        <v>395</v>
      </c>
      <c r="BC87" s="5" t="s">
        <v>395</v>
      </c>
      <c r="BD87" s="5" t="s">
        <v>395</v>
      </c>
      <c r="BE87" s="5" t="s">
        <v>395</v>
      </c>
      <c r="BF87" s="5" t="s">
        <v>395</v>
      </c>
      <c r="BG87" s="5" t="s">
        <v>395</v>
      </c>
      <c r="BH87" s="5" t="s">
        <v>395</v>
      </c>
      <c r="BI87" s="5" t="s">
        <v>395</v>
      </c>
      <c r="BJ87" s="5" t="s">
        <v>395</v>
      </c>
      <c r="BK87" s="5" t="s">
        <v>395</v>
      </c>
      <c r="BL87" s="5" t="s">
        <v>395</v>
      </c>
      <c r="BM87" s="5" t="s">
        <v>395</v>
      </c>
      <c r="BN87" s="5">
        <v>260</v>
      </c>
      <c r="BO87" s="57" t="s">
        <v>395</v>
      </c>
      <c r="BP87" s="57" t="s">
        <v>395</v>
      </c>
      <c r="BQ87" s="57" t="s">
        <v>395</v>
      </c>
      <c r="BR87" s="57" t="s">
        <v>395</v>
      </c>
      <c r="BS87" s="57" t="s">
        <v>395</v>
      </c>
      <c r="BT87" s="57" t="s">
        <v>395</v>
      </c>
      <c r="BU87" s="57" t="s">
        <v>395</v>
      </c>
      <c r="BV87" s="57" t="s">
        <v>395</v>
      </c>
      <c r="BW87" s="57" t="s">
        <v>395</v>
      </c>
      <c r="BX87" s="57" t="s">
        <v>395</v>
      </c>
      <c r="BY87" s="57" t="s">
        <v>395</v>
      </c>
      <c r="BZ87" s="57" t="s">
        <v>395</v>
      </c>
      <c r="CA87" s="57" t="s">
        <v>395</v>
      </c>
      <c r="CB87" s="57" t="s">
        <v>395</v>
      </c>
      <c r="CC87" s="57" t="s">
        <v>395</v>
      </c>
      <c r="CD87" s="57" t="s">
        <v>395</v>
      </c>
      <c r="CE87" s="57" t="s">
        <v>395</v>
      </c>
      <c r="CF87" s="57" t="s">
        <v>395</v>
      </c>
      <c r="CG87" s="57" t="s">
        <v>395</v>
      </c>
      <c r="CH87" s="57" t="s">
        <v>395</v>
      </c>
      <c r="CI87" s="57" t="s">
        <v>395</v>
      </c>
      <c r="CJ87" s="57" t="s">
        <v>395</v>
      </c>
      <c r="CK87" s="57" t="s">
        <v>395</v>
      </c>
      <c r="CL87" s="57" t="s">
        <v>395</v>
      </c>
      <c r="CM87" s="57" t="s">
        <v>395</v>
      </c>
      <c r="CN87" s="57" t="s">
        <v>395</v>
      </c>
      <c r="CO87" s="57" t="s">
        <v>395</v>
      </c>
      <c r="CP87" s="57" t="s">
        <v>395</v>
      </c>
      <c r="CQ87" s="57" t="s">
        <v>395</v>
      </c>
      <c r="CR87" s="57" t="s">
        <v>395</v>
      </c>
      <c r="CS87" s="57" t="s">
        <v>395</v>
      </c>
      <c r="CT87" s="57" t="s">
        <v>395</v>
      </c>
      <c r="CU87" s="57" t="s">
        <v>395</v>
      </c>
      <c r="CV87" s="57" t="s">
        <v>395</v>
      </c>
      <c r="CW87" s="57" t="s">
        <v>395</v>
      </c>
      <c r="CX87" s="57" t="s">
        <v>395</v>
      </c>
      <c r="CY87" s="59" t="s">
        <v>395</v>
      </c>
    </row>
    <row r="88" spans="1:104" x14ac:dyDescent="0.3">
      <c r="A88" s="98" t="s">
        <v>25</v>
      </c>
      <c r="B88" s="98" t="s">
        <v>25</v>
      </c>
      <c r="C88" s="132" t="s">
        <v>20</v>
      </c>
      <c r="D88" s="132"/>
      <c r="E88" s="98"/>
      <c r="F88" s="98"/>
      <c r="G88" s="245">
        <v>44098</v>
      </c>
      <c r="H88" s="1">
        <v>2020</v>
      </c>
      <c r="I88" s="75" t="s">
        <v>33</v>
      </c>
      <c r="J88" s="75">
        <v>10</v>
      </c>
      <c r="K88" s="155">
        <v>0.54760303583437775</v>
      </c>
      <c r="L88" s="5" t="s">
        <v>394</v>
      </c>
      <c r="M88" s="5">
        <v>1.8796321100098223E-2</v>
      </c>
      <c r="N88" s="5">
        <v>7.5033485132601122E-2</v>
      </c>
      <c r="O88" s="5">
        <v>0.82873470845611219</v>
      </c>
      <c r="P88" s="5">
        <v>0.75546923832485047</v>
      </c>
      <c r="Q88" s="5">
        <v>3.31597464059291</v>
      </c>
      <c r="R88" s="5">
        <v>2.8135547816769355</v>
      </c>
      <c r="S88" s="5">
        <v>1.3719171354585231</v>
      </c>
      <c r="T88" s="5">
        <v>9.1794803107420311</v>
      </c>
      <c r="U88" s="5">
        <f t="shared" si="10"/>
        <v>76.917132677885817</v>
      </c>
      <c r="V88" s="5">
        <v>8.0000000000000002E-3</v>
      </c>
      <c r="W88" s="5">
        <v>0.11117678962745009</v>
      </c>
      <c r="X88" s="5">
        <v>4.2714013793579503E-2</v>
      </c>
      <c r="Y88" s="5">
        <v>7.3809260356393958E-2</v>
      </c>
      <c r="Z88" s="5">
        <v>7.0000000000000001E-3</v>
      </c>
      <c r="AA88" s="5">
        <v>3.2692248433178563E-2</v>
      </c>
      <c r="AB88" s="5">
        <v>2.969497680691547E-2</v>
      </c>
      <c r="AC88" s="5" t="s">
        <v>129</v>
      </c>
      <c r="AD88" s="5">
        <v>0.30508728901751758</v>
      </c>
      <c r="AE88" s="5">
        <f t="shared" si="14"/>
        <v>0.29808728901751763</v>
      </c>
      <c r="AF88" s="66" t="s">
        <v>130</v>
      </c>
      <c r="AG88" s="250" t="s">
        <v>395</v>
      </c>
      <c r="AH88" s="88">
        <v>28.368659883225693</v>
      </c>
      <c r="AI88" s="85" t="s">
        <v>69</v>
      </c>
      <c r="AJ88" s="85" t="s">
        <v>395</v>
      </c>
      <c r="AK88" s="85" t="s">
        <v>395</v>
      </c>
      <c r="AL88" s="85" t="s">
        <v>69</v>
      </c>
      <c r="AM88" s="85" t="s">
        <v>126</v>
      </c>
      <c r="AN88" s="86">
        <v>1.0644272019080363</v>
      </c>
      <c r="AO88" s="87">
        <v>0.43859282318140275</v>
      </c>
      <c r="AP88" s="16" t="s">
        <v>395</v>
      </c>
      <c r="AQ88" s="87">
        <v>0.49359599807957372</v>
      </c>
      <c r="AR88" s="87" t="s">
        <v>65</v>
      </c>
      <c r="AS88" s="87" t="s">
        <v>131</v>
      </c>
      <c r="AT88" s="87" t="s">
        <v>131</v>
      </c>
      <c r="AU88" s="87" t="s">
        <v>131</v>
      </c>
      <c r="AV88" s="87">
        <v>0.42128575632269344</v>
      </c>
      <c r="AW88" s="85" t="s">
        <v>126</v>
      </c>
      <c r="AX88" s="85" t="s">
        <v>395</v>
      </c>
      <c r="AY88" s="85" t="s">
        <v>395</v>
      </c>
      <c r="AZ88" s="85" t="s">
        <v>395</v>
      </c>
      <c r="BA88" s="85" t="s">
        <v>395</v>
      </c>
      <c r="BB88" s="85" t="s">
        <v>395</v>
      </c>
      <c r="BC88" s="5" t="s">
        <v>395</v>
      </c>
      <c r="BD88" s="5" t="s">
        <v>395</v>
      </c>
      <c r="BE88" s="5" t="s">
        <v>395</v>
      </c>
      <c r="BF88" s="5" t="s">
        <v>395</v>
      </c>
      <c r="BG88" s="5" t="s">
        <v>395</v>
      </c>
      <c r="BH88" s="5" t="s">
        <v>395</v>
      </c>
      <c r="BI88" s="5" t="s">
        <v>395</v>
      </c>
      <c r="BJ88" s="5" t="s">
        <v>395</v>
      </c>
      <c r="BK88" s="5" t="s">
        <v>395</v>
      </c>
      <c r="BL88" s="5" t="s">
        <v>395</v>
      </c>
      <c r="BM88" s="5" t="s">
        <v>395</v>
      </c>
      <c r="BN88" s="5">
        <v>91</v>
      </c>
      <c r="BO88" s="57" t="s">
        <v>395</v>
      </c>
      <c r="BP88" s="57" t="s">
        <v>395</v>
      </c>
      <c r="BQ88" s="57" t="s">
        <v>395</v>
      </c>
      <c r="BR88" s="57" t="s">
        <v>395</v>
      </c>
      <c r="BS88" s="57" t="s">
        <v>395</v>
      </c>
      <c r="BT88" s="57" t="s">
        <v>395</v>
      </c>
      <c r="BU88" s="57" t="s">
        <v>395</v>
      </c>
      <c r="BV88" s="57" t="s">
        <v>395</v>
      </c>
      <c r="BW88" s="57" t="s">
        <v>395</v>
      </c>
      <c r="BX88" s="57" t="s">
        <v>395</v>
      </c>
      <c r="BY88" s="57" t="s">
        <v>395</v>
      </c>
      <c r="BZ88" s="57" t="s">
        <v>395</v>
      </c>
      <c r="CA88" s="57" t="s">
        <v>395</v>
      </c>
      <c r="CB88" s="57" t="s">
        <v>395</v>
      </c>
      <c r="CC88" s="57" t="s">
        <v>395</v>
      </c>
      <c r="CD88" s="57" t="s">
        <v>395</v>
      </c>
      <c r="CE88" s="57" t="s">
        <v>395</v>
      </c>
      <c r="CF88" s="57" t="s">
        <v>395</v>
      </c>
      <c r="CG88" s="57" t="s">
        <v>395</v>
      </c>
      <c r="CH88" s="57" t="s">
        <v>395</v>
      </c>
      <c r="CI88" s="57" t="s">
        <v>395</v>
      </c>
      <c r="CJ88" s="57" t="s">
        <v>395</v>
      </c>
      <c r="CK88" s="57" t="s">
        <v>395</v>
      </c>
      <c r="CL88" s="57" t="s">
        <v>395</v>
      </c>
      <c r="CM88" s="57" t="s">
        <v>395</v>
      </c>
      <c r="CN88" s="57" t="s">
        <v>395</v>
      </c>
      <c r="CO88" s="57" t="s">
        <v>395</v>
      </c>
      <c r="CP88" s="57" t="s">
        <v>395</v>
      </c>
      <c r="CQ88" s="57" t="s">
        <v>395</v>
      </c>
      <c r="CR88" s="57" t="s">
        <v>395</v>
      </c>
      <c r="CS88" s="57" t="s">
        <v>395</v>
      </c>
      <c r="CT88" s="57" t="s">
        <v>395</v>
      </c>
      <c r="CU88" s="57" t="s">
        <v>395</v>
      </c>
      <c r="CV88" s="57" t="s">
        <v>395</v>
      </c>
      <c r="CW88" s="57" t="s">
        <v>395</v>
      </c>
      <c r="CX88" s="57" t="s">
        <v>395</v>
      </c>
      <c r="CY88" s="59" t="s">
        <v>395</v>
      </c>
    </row>
    <row r="89" spans="1:104" x14ac:dyDescent="0.3">
      <c r="A89" s="98" t="s">
        <v>9</v>
      </c>
      <c r="B89" s="98" t="s">
        <v>9</v>
      </c>
      <c r="C89" s="132" t="s">
        <v>20</v>
      </c>
      <c r="D89" s="132"/>
      <c r="E89" s="98"/>
      <c r="F89" s="98"/>
      <c r="G89" s="245">
        <v>44088</v>
      </c>
      <c r="H89" s="1">
        <v>2020</v>
      </c>
      <c r="I89" s="75" t="s">
        <v>33</v>
      </c>
      <c r="J89" s="75">
        <v>10</v>
      </c>
      <c r="K89" s="155">
        <v>0.52518053080745719</v>
      </c>
      <c r="L89" s="5" t="s">
        <v>394</v>
      </c>
      <c r="M89" s="5">
        <v>2.6367475203770994E-2</v>
      </c>
      <c r="N89" s="5">
        <v>7.952469802612197E-2</v>
      </c>
      <c r="O89" s="5">
        <v>0.68976725915741921</v>
      </c>
      <c r="P89" s="5">
        <v>0.52974565452224287</v>
      </c>
      <c r="Q89" s="5">
        <v>2.674722576843759</v>
      </c>
      <c r="R89" s="5">
        <v>2.1255032897967201</v>
      </c>
      <c r="S89" s="5">
        <v>1.0491210841598742</v>
      </c>
      <c r="T89" s="5">
        <v>7.1747520377099088</v>
      </c>
      <c r="U89" s="5">
        <f t="shared" si="10"/>
        <v>63.264020592795667</v>
      </c>
      <c r="V89" s="5">
        <v>8.9999999999999993E-3</v>
      </c>
      <c r="W89" s="5">
        <v>5.5685877009316591E-2</v>
      </c>
      <c r="X89" s="5">
        <v>2.3870542645258036E-2</v>
      </c>
      <c r="Y89" s="5">
        <v>3.6722057018917162E-2</v>
      </c>
      <c r="Z89" s="5" t="s">
        <v>76</v>
      </c>
      <c r="AA89" s="5">
        <v>1.626331415578439E-2</v>
      </c>
      <c r="AB89" s="5">
        <v>1.7637678732329552E-2</v>
      </c>
      <c r="AC89" s="5" t="s">
        <v>69</v>
      </c>
      <c r="AD89" s="5">
        <v>0.15917946956160572</v>
      </c>
      <c r="AE89" s="5">
        <f t="shared" si="14"/>
        <v>0.15917946956160572</v>
      </c>
      <c r="AF89" s="66">
        <v>6.6777963272120202E-3</v>
      </c>
      <c r="AG89" s="250">
        <f t="shared" si="13"/>
        <v>6.3576198425948971E-2</v>
      </c>
      <c r="AH89" s="88">
        <v>1.9434212505298278</v>
      </c>
      <c r="AI89" s="85" t="s">
        <v>69</v>
      </c>
      <c r="AJ89" s="85" t="s">
        <v>395</v>
      </c>
      <c r="AK89" s="85" t="s">
        <v>395</v>
      </c>
      <c r="AL89" s="85" t="s">
        <v>69</v>
      </c>
      <c r="AM89" s="85" t="s">
        <v>126</v>
      </c>
      <c r="AN89" s="85" t="s">
        <v>69</v>
      </c>
      <c r="AO89" s="87" t="s">
        <v>126</v>
      </c>
      <c r="AP89" s="16" t="s">
        <v>395</v>
      </c>
      <c r="AQ89" s="87" t="s">
        <v>69</v>
      </c>
      <c r="AR89" s="87" t="s">
        <v>65</v>
      </c>
      <c r="AS89" s="87" t="s">
        <v>131</v>
      </c>
      <c r="AT89" s="87" t="s">
        <v>131</v>
      </c>
      <c r="AU89" s="87" t="s">
        <v>131</v>
      </c>
      <c r="AV89" s="87">
        <v>0.21852140503438749</v>
      </c>
      <c r="AW89" s="85" t="s">
        <v>126</v>
      </c>
      <c r="AX89" s="85" t="s">
        <v>395</v>
      </c>
      <c r="AY89" s="85" t="s">
        <v>395</v>
      </c>
      <c r="AZ89" s="85" t="s">
        <v>395</v>
      </c>
      <c r="BA89" s="85" t="s">
        <v>395</v>
      </c>
      <c r="BB89" s="85" t="s">
        <v>395</v>
      </c>
      <c r="BC89" s="5" t="s">
        <v>395</v>
      </c>
      <c r="BD89" s="5" t="s">
        <v>395</v>
      </c>
      <c r="BE89" s="5" t="s">
        <v>395</v>
      </c>
      <c r="BF89" s="5" t="s">
        <v>395</v>
      </c>
      <c r="BG89" s="5" t="s">
        <v>395</v>
      </c>
      <c r="BH89" s="5" t="s">
        <v>395</v>
      </c>
      <c r="BI89" s="5" t="s">
        <v>395</v>
      </c>
      <c r="BJ89" s="5" t="s">
        <v>395</v>
      </c>
      <c r="BK89" s="5" t="s">
        <v>395</v>
      </c>
      <c r="BL89" s="5" t="s">
        <v>395</v>
      </c>
      <c r="BM89" s="5" t="s">
        <v>395</v>
      </c>
      <c r="BN89" s="5">
        <v>31</v>
      </c>
      <c r="BO89" s="57" t="s">
        <v>395</v>
      </c>
      <c r="BP89" s="57" t="s">
        <v>395</v>
      </c>
      <c r="BQ89" s="57" t="s">
        <v>395</v>
      </c>
      <c r="BR89" s="57" t="s">
        <v>395</v>
      </c>
      <c r="BS89" s="57" t="s">
        <v>395</v>
      </c>
      <c r="BT89" s="57" t="s">
        <v>395</v>
      </c>
      <c r="BU89" s="57" t="s">
        <v>395</v>
      </c>
      <c r="BV89" s="57" t="s">
        <v>395</v>
      </c>
      <c r="BW89" s="57" t="s">
        <v>395</v>
      </c>
      <c r="BX89" s="57" t="s">
        <v>395</v>
      </c>
      <c r="BY89" s="57" t="s">
        <v>395</v>
      </c>
      <c r="BZ89" s="57" t="s">
        <v>395</v>
      </c>
      <c r="CA89" s="57" t="s">
        <v>395</v>
      </c>
      <c r="CB89" s="57" t="s">
        <v>395</v>
      </c>
      <c r="CC89" s="57" t="s">
        <v>395</v>
      </c>
      <c r="CD89" s="57" t="s">
        <v>395</v>
      </c>
      <c r="CE89" s="57" t="s">
        <v>395</v>
      </c>
      <c r="CF89" s="57" t="s">
        <v>395</v>
      </c>
      <c r="CG89" s="57" t="s">
        <v>395</v>
      </c>
      <c r="CH89" s="57" t="s">
        <v>395</v>
      </c>
      <c r="CI89" s="57" t="s">
        <v>395</v>
      </c>
      <c r="CJ89" s="57" t="s">
        <v>395</v>
      </c>
      <c r="CK89" s="57" t="s">
        <v>395</v>
      </c>
      <c r="CL89" s="57" t="s">
        <v>395</v>
      </c>
      <c r="CM89" s="57" t="s">
        <v>395</v>
      </c>
      <c r="CN89" s="57" t="s">
        <v>395</v>
      </c>
      <c r="CO89" s="57" t="s">
        <v>395</v>
      </c>
      <c r="CP89" s="57" t="s">
        <v>395</v>
      </c>
      <c r="CQ89" s="57" t="s">
        <v>395</v>
      </c>
      <c r="CR89" s="57" t="s">
        <v>395</v>
      </c>
      <c r="CS89" s="57" t="s">
        <v>395</v>
      </c>
      <c r="CT89" s="57" t="s">
        <v>395</v>
      </c>
      <c r="CU89" s="57" t="s">
        <v>395</v>
      </c>
      <c r="CV89" s="57" t="s">
        <v>395</v>
      </c>
      <c r="CW89" s="57" t="s">
        <v>395</v>
      </c>
      <c r="CX89" s="57" t="s">
        <v>395</v>
      </c>
      <c r="CY89" s="59" t="s">
        <v>395</v>
      </c>
    </row>
    <row r="90" spans="1:104" x14ac:dyDescent="0.3">
      <c r="A90" s="98" t="s">
        <v>8</v>
      </c>
      <c r="B90" s="98" t="s">
        <v>8</v>
      </c>
      <c r="C90" s="132" t="s">
        <v>20</v>
      </c>
      <c r="D90" s="132"/>
      <c r="E90" s="98"/>
      <c r="F90" s="98"/>
      <c r="G90" s="245">
        <v>44097</v>
      </c>
      <c r="H90" s="1">
        <v>2020</v>
      </c>
      <c r="I90" s="75" t="s">
        <v>33</v>
      </c>
      <c r="J90" s="75">
        <v>10</v>
      </c>
      <c r="K90" s="155">
        <v>0.52333562113932686</v>
      </c>
      <c r="L90" s="5" t="s">
        <v>394</v>
      </c>
      <c r="M90" s="5">
        <v>0.17406816822802471</v>
      </c>
      <c r="N90" s="5">
        <v>0.37479569463822998</v>
      </c>
      <c r="O90" s="5">
        <v>1.5110723539964122</v>
      </c>
      <c r="P90" s="5">
        <v>1.5094179788718356</v>
      </c>
      <c r="Q90" s="5">
        <v>4.9955949770779347</v>
      </c>
      <c r="R90" s="5">
        <v>4.0142515447478573</v>
      </c>
      <c r="S90" s="5">
        <v>1.9149093083516047</v>
      </c>
      <c r="T90" s="5">
        <v>14.494110025911899</v>
      </c>
      <c r="U90" s="5">
        <f t="shared" si="10"/>
        <v>124.0570250002452</v>
      </c>
      <c r="V90" s="5">
        <v>3.8571368420217238E-2</v>
      </c>
      <c r="W90" s="5">
        <v>0.19398858474323516</v>
      </c>
      <c r="X90" s="5">
        <v>5.1704846988411303E-2</v>
      </c>
      <c r="Y90" s="5">
        <v>8.1419671243904479E-2</v>
      </c>
      <c r="Z90" s="5">
        <v>8.9999999999999993E-3</v>
      </c>
      <c r="AA90" s="5">
        <v>3.0083298604099834E-2</v>
      </c>
      <c r="AB90" s="5">
        <v>3.4399712402063416E-2</v>
      </c>
      <c r="AC90" s="5" t="s">
        <v>69</v>
      </c>
      <c r="AD90" s="5">
        <v>0.43916748240193149</v>
      </c>
      <c r="AE90" s="5">
        <f t="shared" si="14"/>
        <v>0.43016748240193148</v>
      </c>
      <c r="AF90" s="66">
        <v>1.5547139724935219E-2</v>
      </c>
      <c r="AG90" s="250">
        <f t="shared" si="13"/>
        <v>0.14853890215888943</v>
      </c>
      <c r="AH90" s="88">
        <v>13.046184738955827</v>
      </c>
      <c r="AI90" s="85" t="s">
        <v>69</v>
      </c>
      <c r="AJ90" s="85" t="s">
        <v>395</v>
      </c>
      <c r="AK90" s="85" t="s">
        <v>395</v>
      </c>
      <c r="AL90" s="85" t="s">
        <v>69</v>
      </c>
      <c r="AM90" s="85" t="s">
        <v>126</v>
      </c>
      <c r="AN90" s="86">
        <v>1.7599717050018255</v>
      </c>
      <c r="AO90" s="87">
        <v>0.32309921504198613</v>
      </c>
      <c r="AP90" s="16" t="s">
        <v>395</v>
      </c>
      <c r="AQ90" s="87">
        <v>0.63620390653523184</v>
      </c>
      <c r="AR90" s="87" t="s">
        <v>65</v>
      </c>
      <c r="AS90" s="87" t="s">
        <v>131</v>
      </c>
      <c r="AT90" s="87" t="s">
        <v>131</v>
      </c>
      <c r="AU90" s="87" t="s">
        <v>131</v>
      </c>
      <c r="AV90" s="87">
        <v>0.27021723256663016</v>
      </c>
      <c r="AW90" s="85" t="s">
        <v>126</v>
      </c>
      <c r="AX90" s="85" t="s">
        <v>395</v>
      </c>
      <c r="AY90" s="85" t="s">
        <v>395</v>
      </c>
      <c r="AZ90" s="85" t="s">
        <v>395</v>
      </c>
      <c r="BA90" s="85" t="s">
        <v>395</v>
      </c>
      <c r="BB90" s="85" t="s">
        <v>395</v>
      </c>
      <c r="BC90" s="5" t="s">
        <v>395</v>
      </c>
      <c r="BD90" s="5" t="s">
        <v>395</v>
      </c>
      <c r="BE90" s="5" t="s">
        <v>395</v>
      </c>
      <c r="BF90" s="5" t="s">
        <v>395</v>
      </c>
      <c r="BG90" s="5" t="s">
        <v>395</v>
      </c>
      <c r="BH90" s="5" t="s">
        <v>395</v>
      </c>
      <c r="BI90" s="5" t="s">
        <v>395</v>
      </c>
      <c r="BJ90" s="5" t="s">
        <v>395</v>
      </c>
      <c r="BK90" s="5" t="s">
        <v>395</v>
      </c>
      <c r="BL90" s="5" t="s">
        <v>395</v>
      </c>
      <c r="BM90" s="5" t="s">
        <v>395</v>
      </c>
      <c r="BN90" s="5">
        <v>160</v>
      </c>
      <c r="BO90" s="57" t="s">
        <v>395</v>
      </c>
      <c r="BP90" s="57" t="s">
        <v>395</v>
      </c>
      <c r="BQ90" s="57" t="s">
        <v>395</v>
      </c>
      <c r="BR90" s="57" t="s">
        <v>395</v>
      </c>
      <c r="BS90" s="57" t="s">
        <v>395</v>
      </c>
      <c r="BT90" s="57" t="s">
        <v>395</v>
      </c>
      <c r="BU90" s="57" t="s">
        <v>395</v>
      </c>
      <c r="BV90" s="57" t="s">
        <v>395</v>
      </c>
      <c r="BW90" s="57" t="s">
        <v>395</v>
      </c>
      <c r="BX90" s="57" t="s">
        <v>395</v>
      </c>
      <c r="BY90" s="57" t="s">
        <v>395</v>
      </c>
      <c r="BZ90" s="57" t="s">
        <v>395</v>
      </c>
      <c r="CA90" s="57" t="s">
        <v>395</v>
      </c>
      <c r="CB90" s="57" t="s">
        <v>395</v>
      </c>
      <c r="CC90" s="57" t="s">
        <v>395</v>
      </c>
      <c r="CD90" s="57" t="s">
        <v>395</v>
      </c>
      <c r="CE90" s="57" t="s">
        <v>395</v>
      </c>
      <c r="CF90" s="57" t="s">
        <v>395</v>
      </c>
      <c r="CG90" s="57" t="s">
        <v>395</v>
      </c>
      <c r="CH90" s="57" t="s">
        <v>395</v>
      </c>
      <c r="CI90" s="57" t="s">
        <v>395</v>
      </c>
      <c r="CJ90" s="57" t="s">
        <v>395</v>
      </c>
      <c r="CK90" s="57" t="s">
        <v>395</v>
      </c>
      <c r="CL90" s="57" t="s">
        <v>395</v>
      </c>
      <c r="CM90" s="57" t="s">
        <v>395</v>
      </c>
      <c r="CN90" s="57" t="s">
        <v>395</v>
      </c>
      <c r="CO90" s="57" t="s">
        <v>395</v>
      </c>
      <c r="CP90" s="57" t="s">
        <v>395</v>
      </c>
      <c r="CQ90" s="57" t="s">
        <v>395</v>
      </c>
      <c r="CR90" s="57" t="s">
        <v>395</v>
      </c>
      <c r="CS90" s="57" t="s">
        <v>395</v>
      </c>
      <c r="CT90" s="57" t="s">
        <v>395</v>
      </c>
      <c r="CU90" s="57" t="s">
        <v>395</v>
      </c>
      <c r="CV90" s="57" t="s">
        <v>395</v>
      </c>
      <c r="CW90" s="57" t="s">
        <v>395</v>
      </c>
      <c r="CX90" s="57" t="s">
        <v>395</v>
      </c>
      <c r="CY90" s="59" t="s">
        <v>395</v>
      </c>
    </row>
    <row r="91" spans="1:104" x14ac:dyDescent="0.3">
      <c r="A91" s="98" t="s">
        <v>6</v>
      </c>
      <c r="B91" s="98" t="s">
        <v>6</v>
      </c>
      <c r="C91" s="132" t="s">
        <v>20</v>
      </c>
      <c r="D91" s="132"/>
      <c r="E91" s="98"/>
      <c r="F91" s="98"/>
      <c r="G91" s="245">
        <v>44076</v>
      </c>
      <c r="H91" s="1">
        <v>2020</v>
      </c>
      <c r="I91" s="75" t="s">
        <v>33</v>
      </c>
      <c r="J91" s="75">
        <v>10</v>
      </c>
      <c r="K91" s="155">
        <v>0.47424214245862151</v>
      </c>
      <c r="L91" s="5" t="s">
        <v>394</v>
      </c>
      <c r="M91" s="5">
        <v>4.192823394048277E-2</v>
      </c>
      <c r="N91" s="5">
        <v>0.20180579148326977</v>
      </c>
      <c r="O91" s="5">
        <v>1.1352431503818072</v>
      </c>
      <c r="P91" s="5">
        <v>0.98619574324897774</v>
      </c>
      <c r="Q91" s="5">
        <v>2.8460301510541921</v>
      </c>
      <c r="R91" s="5">
        <v>2.2701489999932774</v>
      </c>
      <c r="S91" s="5">
        <v>0.8815410952932754</v>
      </c>
      <c r="T91" s="5">
        <v>8.3628931653952829</v>
      </c>
      <c r="U91" s="5">
        <f t="shared" si="10"/>
        <v>77.773533409569708</v>
      </c>
      <c r="V91" s="5">
        <v>8.9999999999999993E-3</v>
      </c>
      <c r="W91" s="5">
        <v>0.109100068376923</v>
      </c>
      <c r="X91" s="5">
        <v>3.0029546545661603E-2</v>
      </c>
      <c r="Y91" s="5">
        <v>8.7190345600406199E-2</v>
      </c>
      <c r="Z91" s="5" t="s">
        <v>76</v>
      </c>
      <c r="AA91" s="5">
        <v>1.6630687209891491E-2</v>
      </c>
      <c r="AB91" s="5">
        <v>1.7838309725132572E-2</v>
      </c>
      <c r="AC91" s="5" t="s">
        <v>128</v>
      </c>
      <c r="AD91" s="5">
        <v>0.26978895745801484</v>
      </c>
      <c r="AE91" s="5">
        <f t="shared" si="14"/>
        <v>0.26978895745801484</v>
      </c>
      <c r="AF91" s="66">
        <v>2.6104041916167664E-2</v>
      </c>
      <c r="AG91" s="250">
        <f t="shared" si="13"/>
        <v>0.27521849682986882</v>
      </c>
      <c r="AH91" s="88">
        <v>4.4276682550063837</v>
      </c>
      <c r="AI91" s="85" t="s">
        <v>69</v>
      </c>
      <c r="AJ91" s="85" t="s">
        <v>395</v>
      </c>
      <c r="AK91" s="85" t="s">
        <v>395</v>
      </c>
      <c r="AL91" s="85" t="s">
        <v>69</v>
      </c>
      <c r="AM91" s="85" t="s">
        <v>126</v>
      </c>
      <c r="AN91" s="85">
        <v>0.6124295368899686</v>
      </c>
      <c r="AO91" s="87" t="s">
        <v>126</v>
      </c>
      <c r="AP91" s="16" t="s">
        <v>395</v>
      </c>
      <c r="AQ91" s="87">
        <v>0.21646578840823447</v>
      </c>
      <c r="AR91" s="87" t="s">
        <v>65</v>
      </c>
      <c r="AS91" s="87" t="s">
        <v>131</v>
      </c>
      <c r="AT91" s="87" t="s">
        <v>131</v>
      </c>
      <c r="AU91" s="87" t="s">
        <v>131</v>
      </c>
      <c r="AV91" s="87">
        <v>0.22037434987075274</v>
      </c>
      <c r="AW91" s="85" t="s">
        <v>126</v>
      </c>
      <c r="AX91" s="85" t="s">
        <v>395</v>
      </c>
      <c r="AY91" s="85" t="s">
        <v>395</v>
      </c>
      <c r="AZ91" s="85" t="s">
        <v>395</v>
      </c>
      <c r="BA91" s="85" t="s">
        <v>395</v>
      </c>
      <c r="BB91" s="85" t="s">
        <v>395</v>
      </c>
      <c r="BC91" s="5" t="s">
        <v>395</v>
      </c>
      <c r="BD91" s="5" t="s">
        <v>395</v>
      </c>
      <c r="BE91" s="5" t="s">
        <v>395</v>
      </c>
      <c r="BF91" s="5" t="s">
        <v>395</v>
      </c>
      <c r="BG91" s="5" t="s">
        <v>395</v>
      </c>
      <c r="BH91" s="5" t="s">
        <v>395</v>
      </c>
      <c r="BI91" s="5" t="s">
        <v>395</v>
      </c>
      <c r="BJ91" s="5" t="s">
        <v>395</v>
      </c>
      <c r="BK91" s="5" t="s">
        <v>395</v>
      </c>
      <c r="BL91" s="5" t="s">
        <v>395</v>
      </c>
      <c r="BM91" s="5" t="s">
        <v>395</v>
      </c>
      <c r="BN91" s="5">
        <v>42</v>
      </c>
      <c r="BO91" s="57" t="s">
        <v>395</v>
      </c>
      <c r="BP91" s="57" t="s">
        <v>395</v>
      </c>
      <c r="BQ91" s="57" t="s">
        <v>395</v>
      </c>
      <c r="BR91" s="57" t="s">
        <v>395</v>
      </c>
      <c r="BS91" s="57" t="s">
        <v>395</v>
      </c>
      <c r="BT91" s="57" t="s">
        <v>395</v>
      </c>
      <c r="BU91" s="57" t="s">
        <v>395</v>
      </c>
      <c r="BV91" s="57" t="s">
        <v>395</v>
      </c>
      <c r="BW91" s="57" t="s">
        <v>395</v>
      </c>
      <c r="BX91" s="57" t="s">
        <v>395</v>
      </c>
      <c r="BY91" s="57" t="s">
        <v>395</v>
      </c>
      <c r="BZ91" s="57" t="s">
        <v>395</v>
      </c>
      <c r="CA91" s="57" t="s">
        <v>395</v>
      </c>
      <c r="CB91" s="57" t="s">
        <v>395</v>
      </c>
      <c r="CC91" s="57" t="s">
        <v>395</v>
      </c>
      <c r="CD91" s="57" t="s">
        <v>395</v>
      </c>
      <c r="CE91" s="57" t="s">
        <v>395</v>
      </c>
      <c r="CF91" s="57" t="s">
        <v>395</v>
      </c>
      <c r="CG91" s="57" t="s">
        <v>395</v>
      </c>
      <c r="CH91" s="57" t="s">
        <v>395</v>
      </c>
      <c r="CI91" s="57" t="s">
        <v>395</v>
      </c>
      <c r="CJ91" s="57" t="s">
        <v>395</v>
      </c>
      <c r="CK91" s="57" t="s">
        <v>395</v>
      </c>
      <c r="CL91" s="57" t="s">
        <v>395</v>
      </c>
      <c r="CM91" s="57" t="s">
        <v>395</v>
      </c>
      <c r="CN91" s="57" t="s">
        <v>395</v>
      </c>
      <c r="CO91" s="57" t="s">
        <v>395</v>
      </c>
      <c r="CP91" s="57" t="s">
        <v>395</v>
      </c>
      <c r="CQ91" s="57" t="s">
        <v>395</v>
      </c>
      <c r="CR91" s="57" t="s">
        <v>395</v>
      </c>
      <c r="CS91" s="57" t="s">
        <v>395</v>
      </c>
      <c r="CT91" s="57" t="s">
        <v>395</v>
      </c>
      <c r="CU91" s="57" t="s">
        <v>395</v>
      </c>
      <c r="CV91" s="57" t="s">
        <v>395</v>
      </c>
      <c r="CW91" s="57" t="s">
        <v>395</v>
      </c>
      <c r="CX91" s="57" t="s">
        <v>395</v>
      </c>
      <c r="CY91" s="59" t="s">
        <v>395</v>
      </c>
    </row>
    <row r="92" spans="1:104" x14ac:dyDescent="0.3">
      <c r="A92" s="98" t="s">
        <v>22</v>
      </c>
      <c r="B92" s="98" t="s">
        <v>22</v>
      </c>
      <c r="C92" s="132" t="s">
        <v>20</v>
      </c>
      <c r="D92" s="132"/>
      <c r="E92" s="98"/>
      <c r="F92" s="98"/>
      <c r="G92" s="245">
        <v>44103</v>
      </c>
      <c r="H92" s="1">
        <v>2020</v>
      </c>
      <c r="I92" s="75" t="s">
        <v>33</v>
      </c>
      <c r="J92" s="75">
        <v>10</v>
      </c>
      <c r="K92" s="155">
        <v>0.65979754157628701</v>
      </c>
      <c r="L92" s="5" t="s">
        <v>394</v>
      </c>
      <c r="M92" s="5">
        <v>0.45874618902439024</v>
      </c>
      <c r="N92" s="5">
        <v>0.93237423780487794</v>
      </c>
      <c r="O92" s="5">
        <v>3.1314119664634146</v>
      </c>
      <c r="P92" s="5">
        <v>3.0152629573170735</v>
      </c>
      <c r="Q92" s="5">
        <v>7.9381442316852437</v>
      </c>
      <c r="R92" s="5">
        <v>6.8494808040392492</v>
      </c>
      <c r="S92" s="5">
        <v>2.7946169969512193</v>
      </c>
      <c r="T92" s="5">
        <v>25.120037383285471</v>
      </c>
      <c r="U92" s="5">
        <f t="shared" si="10"/>
        <v>167.51179743076233</v>
      </c>
      <c r="V92" s="5">
        <v>1.4133504577920449E-2</v>
      </c>
      <c r="W92" s="5">
        <v>0.37347665254112311</v>
      </c>
      <c r="X92" s="5">
        <v>8.7080235970276074E-2</v>
      </c>
      <c r="Y92" s="5">
        <v>0.14503725218314784</v>
      </c>
      <c r="Z92" s="5">
        <v>1.0949848256614138E-2</v>
      </c>
      <c r="AA92" s="5">
        <v>4.171313339166112E-2</v>
      </c>
      <c r="AB92" s="5">
        <v>5.8813226814435189E-2</v>
      </c>
      <c r="AC92" s="5" t="s">
        <v>128</v>
      </c>
      <c r="AD92" s="5">
        <v>0.73120385373517804</v>
      </c>
      <c r="AE92" s="5">
        <f t="shared" si="14"/>
        <v>0.72025400547856377</v>
      </c>
      <c r="AF92" s="66">
        <v>1.5053353658536585E-2</v>
      </c>
      <c r="AG92" s="250">
        <f t="shared" si="13"/>
        <v>0.11407555128633416</v>
      </c>
      <c r="AH92" s="88">
        <v>10.870383897410928</v>
      </c>
      <c r="AI92" s="85" t="s">
        <v>69</v>
      </c>
      <c r="AJ92" s="85" t="s">
        <v>395</v>
      </c>
      <c r="AK92" s="85" t="s">
        <v>395</v>
      </c>
      <c r="AL92" s="85" t="s">
        <v>69</v>
      </c>
      <c r="AM92" s="85" t="s">
        <v>126</v>
      </c>
      <c r="AN92" s="85">
        <v>0.73104861618375161</v>
      </c>
      <c r="AO92" s="87" t="s">
        <v>126</v>
      </c>
      <c r="AP92" s="16" t="s">
        <v>395</v>
      </c>
      <c r="AQ92" s="87">
        <v>0.57972161350539753</v>
      </c>
      <c r="AR92" s="87">
        <v>0.17805170034899773</v>
      </c>
      <c r="AS92" s="87">
        <v>0.80959337716094493</v>
      </c>
      <c r="AT92" s="87">
        <v>0.52775748721694682</v>
      </c>
      <c r="AU92" s="87" t="s">
        <v>131</v>
      </c>
      <c r="AV92" s="87">
        <v>0.11062413765116472</v>
      </c>
      <c r="AW92" s="85" t="s">
        <v>126</v>
      </c>
      <c r="AX92" s="85" t="s">
        <v>395</v>
      </c>
      <c r="AY92" s="85" t="s">
        <v>395</v>
      </c>
      <c r="AZ92" s="85" t="s">
        <v>395</v>
      </c>
      <c r="BA92" s="85" t="s">
        <v>395</v>
      </c>
      <c r="BB92" s="85" t="s">
        <v>395</v>
      </c>
      <c r="BC92" s="5" t="s">
        <v>395</v>
      </c>
      <c r="BD92" s="5" t="s">
        <v>395</v>
      </c>
      <c r="BE92" s="5" t="s">
        <v>395</v>
      </c>
      <c r="BF92" s="5" t="s">
        <v>395</v>
      </c>
      <c r="BG92" s="5" t="s">
        <v>395</v>
      </c>
      <c r="BH92" s="5" t="s">
        <v>395</v>
      </c>
      <c r="BI92" s="5" t="s">
        <v>395</v>
      </c>
      <c r="BJ92" s="5" t="s">
        <v>395</v>
      </c>
      <c r="BK92" s="5" t="s">
        <v>395</v>
      </c>
      <c r="BL92" s="5" t="s">
        <v>395</v>
      </c>
      <c r="BM92" s="5" t="s">
        <v>395</v>
      </c>
      <c r="BN92" s="5">
        <v>150</v>
      </c>
      <c r="BO92" s="57" t="s">
        <v>395</v>
      </c>
      <c r="BP92" s="57" t="s">
        <v>395</v>
      </c>
      <c r="BQ92" s="57" t="s">
        <v>395</v>
      </c>
      <c r="BR92" s="57" t="s">
        <v>395</v>
      </c>
      <c r="BS92" s="57" t="s">
        <v>395</v>
      </c>
      <c r="BT92" s="57" t="s">
        <v>395</v>
      </c>
      <c r="BU92" s="57" t="s">
        <v>395</v>
      </c>
      <c r="BV92" s="57" t="s">
        <v>395</v>
      </c>
      <c r="BW92" s="57" t="s">
        <v>395</v>
      </c>
      <c r="BX92" s="57" t="s">
        <v>395</v>
      </c>
      <c r="BY92" s="57" t="s">
        <v>395</v>
      </c>
      <c r="BZ92" s="57" t="s">
        <v>395</v>
      </c>
      <c r="CA92" s="57" t="s">
        <v>395</v>
      </c>
      <c r="CB92" s="57" t="s">
        <v>395</v>
      </c>
      <c r="CC92" s="57" t="s">
        <v>395</v>
      </c>
      <c r="CD92" s="57" t="s">
        <v>395</v>
      </c>
      <c r="CE92" s="57" t="s">
        <v>395</v>
      </c>
      <c r="CF92" s="57" t="s">
        <v>395</v>
      </c>
      <c r="CG92" s="57" t="s">
        <v>395</v>
      </c>
      <c r="CH92" s="57" t="s">
        <v>395</v>
      </c>
      <c r="CI92" s="57" t="s">
        <v>395</v>
      </c>
      <c r="CJ92" s="57" t="s">
        <v>395</v>
      </c>
      <c r="CK92" s="57" t="s">
        <v>395</v>
      </c>
      <c r="CL92" s="57" t="s">
        <v>395</v>
      </c>
      <c r="CM92" s="57" t="s">
        <v>395</v>
      </c>
      <c r="CN92" s="57" t="s">
        <v>395</v>
      </c>
      <c r="CO92" s="57" t="s">
        <v>395</v>
      </c>
      <c r="CP92" s="57" t="s">
        <v>395</v>
      </c>
      <c r="CQ92" s="57" t="s">
        <v>395</v>
      </c>
      <c r="CR92" s="57" t="s">
        <v>395</v>
      </c>
      <c r="CS92" s="57" t="s">
        <v>395</v>
      </c>
      <c r="CT92" s="57" t="s">
        <v>395</v>
      </c>
      <c r="CU92" s="57" t="s">
        <v>395</v>
      </c>
      <c r="CV92" s="57" t="s">
        <v>395</v>
      </c>
      <c r="CW92" s="57" t="s">
        <v>395</v>
      </c>
      <c r="CX92" s="57" t="s">
        <v>395</v>
      </c>
      <c r="CY92" s="59" t="s">
        <v>395</v>
      </c>
    </row>
    <row r="93" spans="1:104" x14ac:dyDescent="0.3">
      <c r="A93" s="98" t="s">
        <v>81</v>
      </c>
      <c r="B93" s="98" t="s">
        <v>81</v>
      </c>
      <c r="C93" s="132" t="s">
        <v>20</v>
      </c>
      <c r="D93" s="132"/>
      <c r="E93" s="98"/>
      <c r="F93" s="98"/>
      <c r="G93" s="245">
        <v>44049</v>
      </c>
      <c r="H93" s="1">
        <v>2020</v>
      </c>
      <c r="I93" s="75" t="s">
        <v>33</v>
      </c>
      <c r="J93" s="75">
        <v>10</v>
      </c>
      <c r="K93" s="155">
        <v>0.64485081809432299</v>
      </c>
      <c r="L93" s="5" t="s">
        <v>394</v>
      </c>
      <c r="M93" s="5">
        <v>3.3809662681053752E-2</v>
      </c>
      <c r="N93" s="5">
        <v>5.7135219208710016E-2</v>
      </c>
      <c r="O93" s="5">
        <v>0.21169437153689122</v>
      </c>
      <c r="P93" s="5">
        <v>0.14997569748225914</v>
      </c>
      <c r="Q93" s="5">
        <v>0.44368620589093022</v>
      </c>
      <c r="R93" s="5">
        <v>0.42281520365509861</v>
      </c>
      <c r="S93" s="5">
        <v>0.178973461650627</v>
      </c>
      <c r="T93" s="5">
        <v>1.4980898221055701</v>
      </c>
      <c r="U93" s="5">
        <f t="shared" si="10"/>
        <v>10.45291474241505</v>
      </c>
      <c r="V93" s="5" t="s">
        <v>76</v>
      </c>
      <c r="W93" s="5">
        <v>4.5224689706991783E-2</v>
      </c>
      <c r="X93" s="5">
        <v>2.2460421010083532E-2</v>
      </c>
      <c r="Y93" s="5">
        <v>4.6513003899128609E-2</v>
      </c>
      <c r="Z93" s="5" t="s">
        <v>76</v>
      </c>
      <c r="AA93" s="5">
        <v>1.5982388326980436E-2</v>
      </c>
      <c r="AB93" s="5">
        <v>1.4572535060113722E-2</v>
      </c>
      <c r="AC93" s="5">
        <v>0.33111939123632167</v>
      </c>
      <c r="AD93" s="5">
        <v>0.4758724292396197</v>
      </c>
      <c r="AE93" s="5">
        <f t="shared" si="14"/>
        <v>0.14475303800329806</v>
      </c>
      <c r="AF93" s="66">
        <v>5.084826988476808E-2</v>
      </c>
      <c r="AG93" s="250">
        <f t="shared" si="13"/>
        <v>0.39426382395726794</v>
      </c>
      <c r="AH93" s="88">
        <v>4.3348077743252302</v>
      </c>
      <c r="AI93" s="85" t="s">
        <v>69</v>
      </c>
      <c r="AJ93" s="85" t="s">
        <v>395</v>
      </c>
      <c r="AK93" s="85" t="s">
        <v>395</v>
      </c>
      <c r="AL93" s="85" t="s">
        <v>69</v>
      </c>
      <c r="AM93" s="85" t="s">
        <v>126</v>
      </c>
      <c r="AN93" s="85">
        <v>0.4682751477487358</v>
      </c>
      <c r="AO93" s="87">
        <v>0.80752452324377033</v>
      </c>
      <c r="AP93" s="16" t="s">
        <v>395</v>
      </c>
      <c r="AQ93" s="87">
        <v>0.75027112654603045</v>
      </c>
      <c r="AR93" s="87" t="s">
        <v>65</v>
      </c>
      <c r="AS93" s="89">
        <v>1.6304149150063973</v>
      </c>
      <c r="AT93" s="87">
        <v>0.55200146225552915</v>
      </c>
      <c r="AU93" s="87">
        <v>0.71650520928532258</v>
      </c>
      <c r="AV93" s="87" t="s">
        <v>65</v>
      </c>
      <c r="AW93" s="85" t="s">
        <v>126</v>
      </c>
      <c r="AX93" s="85" t="s">
        <v>395</v>
      </c>
      <c r="AY93" s="85" t="s">
        <v>395</v>
      </c>
      <c r="AZ93" s="85" t="s">
        <v>395</v>
      </c>
      <c r="BA93" s="85" t="s">
        <v>395</v>
      </c>
      <c r="BB93" s="85" t="s">
        <v>395</v>
      </c>
      <c r="BC93" s="5" t="s">
        <v>395</v>
      </c>
      <c r="BD93" s="5" t="s">
        <v>395</v>
      </c>
      <c r="BE93" s="5" t="s">
        <v>395</v>
      </c>
      <c r="BF93" s="5" t="s">
        <v>395</v>
      </c>
      <c r="BG93" s="5" t="s">
        <v>395</v>
      </c>
      <c r="BH93" s="5" t="s">
        <v>395</v>
      </c>
      <c r="BI93" s="5" t="s">
        <v>395</v>
      </c>
      <c r="BJ93" s="5" t="s">
        <v>395</v>
      </c>
      <c r="BK93" s="5" t="s">
        <v>395</v>
      </c>
      <c r="BL93" s="5" t="s">
        <v>395</v>
      </c>
      <c r="BM93" s="5" t="s">
        <v>395</v>
      </c>
      <c r="BN93" s="5">
        <v>29</v>
      </c>
      <c r="BO93" s="57" t="s">
        <v>395</v>
      </c>
      <c r="BP93" s="57" t="s">
        <v>395</v>
      </c>
      <c r="BQ93" s="57" t="s">
        <v>395</v>
      </c>
      <c r="BR93" s="57" t="s">
        <v>395</v>
      </c>
      <c r="BS93" s="57" t="s">
        <v>395</v>
      </c>
      <c r="BT93" s="57" t="s">
        <v>395</v>
      </c>
      <c r="BU93" s="57" t="s">
        <v>395</v>
      </c>
      <c r="BV93" s="57" t="s">
        <v>395</v>
      </c>
      <c r="BW93" s="57" t="s">
        <v>395</v>
      </c>
      <c r="BX93" s="57" t="s">
        <v>395</v>
      </c>
      <c r="BY93" s="57" t="s">
        <v>395</v>
      </c>
      <c r="BZ93" s="57" t="s">
        <v>395</v>
      </c>
      <c r="CA93" s="57" t="s">
        <v>395</v>
      </c>
      <c r="CB93" s="57" t="s">
        <v>395</v>
      </c>
      <c r="CC93" s="57" t="s">
        <v>395</v>
      </c>
      <c r="CD93" s="57" t="s">
        <v>395</v>
      </c>
      <c r="CE93" s="57" t="s">
        <v>395</v>
      </c>
      <c r="CF93" s="57" t="s">
        <v>395</v>
      </c>
      <c r="CG93" s="57" t="s">
        <v>395</v>
      </c>
      <c r="CH93" s="57" t="s">
        <v>395</v>
      </c>
      <c r="CI93" s="57" t="s">
        <v>395</v>
      </c>
      <c r="CJ93" s="57" t="s">
        <v>395</v>
      </c>
      <c r="CK93" s="57" t="s">
        <v>395</v>
      </c>
      <c r="CL93" s="57" t="s">
        <v>395</v>
      </c>
      <c r="CM93" s="57" t="s">
        <v>395</v>
      </c>
      <c r="CN93" s="57" t="s">
        <v>395</v>
      </c>
      <c r="CO93" s="57" t="s">
        <v>395</v>
      </c>
      <c r="CP93" s="57" t="s">
        <v>395</v>
      </c>
      <c r="CQ93" s="57" t="s">
        <v>395</v>
      </c>
      <c r="CR93" s="57" t="s">
        <v>395</v>
      </c>
      <c r="CS93" s="57" t="s">
        <v>395</v>
      </c>
      <c r="CT93" s="57" t="s">
        <v>395</v>
      </c>
      <c r="CU93" s="57" t="s">
        <v>395</v>
      </c>
      <c r="CV93" s="57" t="s">
        <v>395</v>
      </c>
      <c r="CW93" s="57" t="s">
        <v>395</v>
      </c>
      <c r="CX93" s="57" t="s">
        <v>395</v>
      </c>
      <c r="CY93" s="59" t="s">
        <v>395</v>
      </c>
    </row>
    <row r="94" spans="1:104" x14ac:dyDescent="0.3">
      <c r="A94" s="98" t="s">
        <v>26</v>
      </c>
      <c r="B94" s="98" t="s">
        <v>26</v>
      </c>
      <c r="C94" s="132" t="s">
        <v>20</v>
      </c>
      <c r="D94" s="132"/>
      <c r="E94" s="98"/>
      <c r="F94" s="98"/>
      <c r="G94" s="245">
        <v>44047</v>
      </c>
      <c r="H94" s="1">
        <v>2020</v>
      </c>
      <c r="I94" s="75" t="s">
        <v>33</v>
      </c>
      <c r="J94" s="75">
        <v>10</v>
      </c>
      <c r="K94" s="155">
        <v>0.62780269058296567</v>
      </c>
      <c r="L94" s="5" t="s">
        <v>394</v>
      </c>
      <c r="M94" s="5">
        <v>1.6077537058152794E-2</v>
      </c>
      <c r="N94" s="5" t="s">
        <v>56</v>
      </c>
      <c r="O94" s="5">
        <v>9.5819080197643486E-2</v>
      </c>
      <c r="P94" s="5">
        <v>9.879323451159254E-2</v>
      </c>
      <c r="Q94" s="5">
        <v>0.26313188901558349</v>
      </c>
      <c r="R94" s="5">
        <v>0.25109274040288865</v>
      </c>
      <c r="S94" s="5">
        <v>9.771949828962373E-2</v>
      </c>
      <c r="T94" s="5">
        <v>0.82263397947548467</v>
      </c>
      <c r="U94" s="5">
        <f t="shared" si="10"/>
        <v>5.7648745045338003</v>
      </c>
      <c r="V94" s="5" t="s">
        <v>76</v>
      </c>
      <c r="W94" s="5">
        <v>7.0000000000000001E-3</v>
      </c>
      <c r="X94" s="5" t="s">
        <v>66</v>
      </c>
      <c r="Y94" s="5">
        <v>8.0000000000000002E-3</v>
      </c>
      <c r="Z94" s="5" t="s">
        <v>76</v>
      </c>
      <c r="AA94" s="5" t="s">
        <v>76</v>
      </c>
      <c r="AB94" s="5" t="s">
        <v>76</v>
      </c>
      <c r="AC94" s="5" t="s">
        <v>128</v>
      </c>
      <c r="AD94" s="5">
        <v>1.5085729940355272E-2</v>
      </c>
      <c r="AE94" s="5">
        <f t="shared" si="14"/>
        <v>1.4999999999999999E-2</v>
      </c>
      <c r="AF94" s="66" t="s">
        <v>130</v>
      </c>
      <c r="AG94" s="250" t="s">
        <v>395</v>
      </c>
      <c r="AH94" s="88">
        <v>2.0705039652084936</v>
      </c>
      <c r="AI94" s="85" t="s">
        <v>69</v>
      </c>
      <c r="AJ94" s="85" t="s">
        <v>395</v>
      </c>
      <c r="AK94" s="85" t="s">
        <v>395</v>
      </c>
      <c r="AL94" s="85" t="s">
        <v>69</v>
      </c>
      <c r="AM94" s="85" t="s">
        <v>126</v>
      </c>
      <c r="AN94" s="85">
        <v>0.26244563827065748</v>
      </c>
      <c r="AO94" s="87" t="s">
        <v>126</v>
      </c>
      <c r="AP94" s="16" t="s">
        <v>395</v>
      </c>
      <c r="AQ94" s="87" t="s">
        <v>69</v>
      </c>
      <c r="AR94" s="87" t="s">
        <v>65</v>
      </c>
      <c r="AS94" s="87" t="s">
        <v>131</v>
      </c>
      <c r="AT94" s="87" t="s">
        <v>131</v>
      </c>
      <c r="AU94" s="87" t="s">
        <v>131</v>
      </c>
      <c r="AV94" s="87" t="s">
        <v>65</v>
      </c>
      <c r="AW94" s="85" t="s">
        <v>126</v>
      </c>
      <c r="AX94" s="85" t="s">
        <v>395</v>
      </c>
      <c r="AY94" s="85" t="s">
        <v>395</v>
      </c>
      <c r="AZ94" s="85" t="s">
        <v>395</v>
      </c>
      <c r="BA94" s="85" t="s">
        <v>395</v>
      </c>
      <c r="BB94" s="85" t="s">
        <v>395</v>
      </c>
      <c r="BC94" s="5" t="s">
        <v>395</v>
      </c>
      <c r="BD94" s="5" t="s">
        <v>395</v>
      </c>
      <c r="BE94" s="5" t="s">
        <v>395</v>
      </c>
      <c r="BF94" s="5" t="s">
        <v>395</v>
      </c>
      <c r="BG94" s="5" t="s">
        <v>395</v>
      </c>
      <c r="BH94" s="5" t="s">
        <v>395</v>
      </c>
      <c r="BI94" s="5" t="s">
        <v>395</v>
      </c>
      <c r="BJ94" s="5" t="s">
        <v>395</v>
      </c>
      <c r="BK94" s="5" t="s">
        <v>395</v>
      </c>
      <c r="BL94" s="5" t="s">
        <v>395</v>
      </c>
      <c r="BM94" s="5" t="s">
        <v>395</v>
      </c>
      <c r="BN94" s="5">
        <v>45</v>
      </c>
      <c r="BO94" s="57" t="s">
        <v>395</v>
      </c>
      <c r="BP94" s="57" t="s">
        <v>395</v>
      </c>
      <c r="BQ94" s="57" t="s">
        <v>395</v>
      </c>
      <c r="BR94" s="57" t="s">
        <v>395</v>
      </c>
      <c r="BS94" s="57" t="s">
        <v>395</v>
      </c>
      <c r="BT94" s="57" t="s">
        <v>395</v>
      </c>
      <c r="BU94" s="57" t="s">
        <v>395</v>
      </c>
      <c r="BV94" s="57" t="s">
        <v>395</v>
      </c>
      <c r="BW94" s="57" t="s">
        <v>395</v>
      </c>
      <c r="BX94" s="57" t="s">
        <v>395</v>
      </c>
      <c r="BY94" s="57" t="s">
        <v>395</v>
      </c>
      <c r="BZ94" s="57" t="s">
        <v>395</v>
      </c>
      <c r="CA94" s="57" t="s">
        <v>395</v>
      </c>
      <c r="CB94" s="57" t="s">
        <v>395</v>
      </c>
      <c r="CC94" s="57" t="s">
        <v>395</v>
      </c>
      <c r="CD94" s="57" t="s">
        <v>395</v>
      </c>
      <c r="CE94" s="57" t="s">
        <v>395</v>
      </c>
      <c r="CF94" s="57" t="s">
        <v>395</v>
      </c>
      <c r="CG94" s="57" t="s">
        <v>395</v>
      </c>
      <c r="CH94" s="57" t="s">
        <v>395</v>
      </c>
      <c r="CI94" s="57" t="s">
        <v>395</v>
      </c>
      <c r="CJ94" s="57" t="s">
        <v>395</v>
      </c>
      <c r="CK94" s="57" t="s">
        <v>395</v>
      </c>
      <c r="CL94" s="57" t="s">
        <v>395</v>
      </c>
      <c r="CM94" s="57" t="s">
        <v>395</v>
      </c>
      <c r="CN94" s="57" t="s">
        <v>395</v>
      </c>
      <c r="CO94" s="57" t="s">
        <v>395</v>
      </c>
      <c r="CP94" s="57" t="s">
        <v>395</v>
      </c>
      <c r="CQ94" s="57" t="s">
        <v>395</v>
      </c>
      <c r="CR94" s="57" t="s">
        <v>395</v>
      </c>
      <c r="CS94" s="57" t="s">
        <v>395</v>
      </c>
      <c r="CT94" s="57" t="s">
        <v>395</v>
      </c>
      <c r="CU94" s="57" t="s">
        <v>395</v>
      </c>
      <c r="CV94" s="57" t="s">
        <v>395</v>
      </c>
      <c r="CW94" s="57" t="s">
        <v>395</v>
      </c>
      <c r="CX94" s="57" t="s">
        <v>395</v>
      </c>
      <c r="CY94" s="59" t="s">
        <v>395</v>
      </c>
    </row>
    <row r="95" spans="1:104" x14ac:dyDescent="0.3">
      <c r="A95" s="98" t="s">
        <v>4</v>
      </c>
      <c r="B95" s="98" t="s">
        <v>4</v>
      </c>
      <c r="C95" s="132" t="s">
        <v>20</v>
      </c>
      <c r="D95" s="132"/>
      <c r="E95" s="98"/>
      <c r="F95" s="98"/>
      <c r="G95" s="245">
        <v>44102</v>
      </c>
      <c r="H95" s="1">
        <v>2020</v>
      </c>
      <c r="I95" s="75" t="s">
        <v>33</v>
      </c>
      <c r="J95" s="75">
        <v>10</v>
      </c>
      <c r="K95" s="155">
        <v>0.71698864767975456</v>
      </c>
      <c r="L95" s="5" t="s">
        <v>394</v>
      </c>
      <c r="M95" s="5">
        <v>0.24733352832212149</v>
      </c>
      <c r="N95" s="5">
        <v>0.512513405479185</v>
      </c>
      <c r="O95" s="5">
        <v>1.2569172272594327</v>
      </c>
      <c r="P95" s="5">
        <v>1.0798089109876181</v>
      </c>
      <c r="Q95" s="5">
        <v>2.3114068441064641</v>
      </c>
      <c r="R95" s="5">
        <v>2.2461245978356246</v>
      </c>
      <c r="S95" s="5">
        <v>0.63068148581456562</v>
      </c>
      <c r="T95" s="5">
        <v>8.2847859998050115</v>
      </c>
      <c r="U95" s="5">
        <f t="shared" si="10"/>
        <v>50.244708281877294</v>
      </c>
      <c r="V95" s="5">
        <v>8.9999999999999993E-3</v>
      </c>
      <c r="W95" s="5">
        <v>6.0955815946042491E-2</v>
      </c>
      <c r="X95" s="5">
        <v>1.881897450017796E-2</v>
      </c>
      <c r="Y95" s="5">
        <v>3.7590215393507022E-2</v>
      </c>
      <c r="Z95" s="5" t="s">
        <v>76</v>
      </c>
      <c r="AA95" s="5">
        <v>1.0047924241692987E-2</v>
      </c>
      <c r="AB95" s="5">
        <v>1.5501488824179559E-2</v>
      </c>
      <c r="AC95" s="5" t="s">
        <v>128</v>
      </c>
      <c r="AD95" s="5">
        <v>0.15150646813840163</v>
      </c>
      <c r="AE95" s="5">
        <f t="shared" si="14"/>
        <v>0.15191441890560003</v>
      </c>
      <c r="AF95" s="66">
        <v>2.0473822755191579E-2</v>
      </c>
      <c r="AG95" s="250">
        <f t="shared" si="13"/>
        <v>0.14277647785252162</v>
      </c>
      <c r="AH95" s="86">
        <v>10.3680036829162</v>
      </c>
      <c r="AI95" s="85" t="s">
        <v>69</v>
      </c>
      <c r="AJ95" s="85" t="s">
        <v>395</v>
      </c>
      <c r="AK95" s="85" t="s">
        <v>395</v>
      </c>
      <c r="AL95" s="85" t="s">
        <v>69</v>
      </c>
      <c r="AM95" s="85" t="s">
        <v>126</v>
      </c>
      <c r="AN95" s="85">
        <v>0.65612384359481168</v>
      </c>
      <c r="AO95" s="87" t="s">
        <v>126</v>
      </c>
      <c r="AP95" s="16" t="s">
        <v>395</v>
      </c>
      <c r="AQ95" s="87">
        <v>0.6652210221206496</v>
      </c>
      <c r="AR95" s="87">
        <v>0.13098934915972257</v>
      </c>
      <c r="AS95" s="87">
        <v>0.87687052395961151</v>
      </c>
      <c r="AT95" s="87">
        <v>0.52935511149704451</v>
      </c>
      <c r="AU95" s="87" t="s">
        <v>131</v>
      </c>
      <c r="AV95" s="87" t="s">
        <v>65</v>
      </c>
      <c r="AW95" s="85" t="s">
        <v>126</v>
      </c>
      <c r="AX95" s="85" t="s">
        <v>395</v>
      </c>
      <c r="AY95" s="85" t="s">
        <v>395</v>
      </c>
      <c r="AZ95" s="85" t="s">
        <v>395</v>
      </c>
      <c r="BA95" s="85" t="s">
        <v>395</v>
      </c>
      <c r="BB95" s="85" t="s">
        <v>395</v>
      </c>
      <c r="BC95" s="5" t="s">
        <v>395</v>
      </c>
      <c r="BD95" s="5" t="s">
        <v>395</v>
      </c>
      <c r="BE95" s="5" t="s">
        <v>395</v>
      </c>
      <c r="BF95" s="5" t="s">
        <v>395</v>
      </c>
      <c r="BG95" s="5" t="s">
        <v>395</v>
      </c>
      <c r="BH95" s="5" t="s">
        <v>395</v>
      </c>
      <c r="BI95" s="5" t="s">
        <v>395</v>
      </c>
      <c r="BJ95" s="5" t="s">
        <v>395</v>
      </c>
      <c r="BK95" s="5" t="s">
        <v>395</v>
      </c>
      <c r="BL95" s="5" t="s">
        <v>395</v>
      </c>
      <c r="BM95" s="5" t="s">
        <v>395</v>
      </c>
      <c r="BN95" s="5">
        <v>87</v>
      </c>
      <c r="BO95" s="57" t="s">
        <v>395</v>
      </c>
      <c r="BP95" s="57" t="s">
        <v>395</v>
      </c>
      <c r="BQ95" s="57" t="s">
        <v>395</v>
      </c>
      <c r="BR95" s="57" t="s">
        <v>395</v>
      </c>
      <c r="BS95" s="57" t="s">
        <v>395</v>
      </c>
      <c r="BT95" s="57" t="s">
        <v>395</v>
      </c>
      <c r="BU95" s="57" t="s">
        <v>395</v>
      </c>
      <c r="BV95" s="57" t="s">
        <v>395</v>
      </c>
      <c r="BW95" s="57" t="s">
        <v>395</v>
      </c>
      <c r="BX95" s="57" t="s">
        <v>395</v>
      </c>
      <c r="BY95" s="57" t="s">
        <v>395</v>
      </c>
      <c r="BZ95" s="57" t="s">
        <v>395</v>
      </c>
      <c r="CA95" s="57" t="s">
        <v>395</v>
      </c>
      <c r="CB95" s="57" t="s">
        <v>395</v>
      </c>
      <c r="CC95" s="57" t="s">
        <v>395</v>
      </c>
      <c r="CD95" s="57" t="s">
        <v>395</v>
      </c>
      <c r="CE95" s="57" t="s">
        <v>395</v>
      </c>
      <c r="CF95" s="57" t="s">
        <v>395</v>
      </c>
      <c r="CG95" s="57" t="s">
        <v>395</v>
      </c>
      <c r="CH95" s="57" t="s">
        <v>395</v>
      </c>
      <c r="CI95" s="57" t="s">
        <v>395</v>
      </c>
      <c r="CJ95" s="57" t="s">
        <v>395</v>
      </c>
      <c r="CK95" s="57" t="s">
        <v>395</v>
      </c>
      <c r="CL95" s="57" t="s">
        <v>395</v>
      </c>
      <c r="CM95" s="57" t="s">
        <v>395</v>
      </c>
      <c r="CN95" s="57" t="s">
        <v>395</v>
      </c>
      <c r="CO95" s="57" t="s">
        <v>395</v>
      </c>
      <c r="CP95" s="57" t="s">
        <v>395</v>
      </c>
      <c r="CQ95" s="57" t="s">
        <v>395</v>
      </c>
      <c r="CR95" s="57" t="s">
        <v>395</v>
      </c>
      <c r="CS95" s="57" t="s">
        <v>395</v>
      </c>
      <c r="CT95" s="57" t="s">
        <v>395</v>
      </c>
      <c r="CU95" s="57" t="s">
        <v>395</v>
      </c>
      <c r="CV95" s="57" t="s">
        <v>395</v>
      </c>
      <c r="CW95" s="57" t="s">
        <v>395</v>
      </c>
      <c r="CX95" s="57" t="s">
        <v>395</v>
      </c>
      <c r="CY95" s="59" t="s">
        <v>395</v>
      </c>
    </row>
    <row r="96" spans="1:104" x14ac:dyDescent="0.3">
      <c r="A96" s="98" t="s">
        <v>112</v>
      </c>
      <c r="B96" s="98" t="s">
        <v>24</v>
      </c>
      <c r="C96" s="132" t="s">
        <v>20</v>
      </c>
      <c r="D96" s="132"/>
      <c r="E96" s="98"/>
      <c r="F96" s="98"/>
      <c r="G96" s="245">
        <v>44074</v>
      </c>
      <c r="H96" s="1">
        <v>2020</v>
      </c>
      <c r="I96" s="75" t="s">
        <v>33</v>
      </c>
      <c r="J96" s="75">
        <v>10</v>
      </c>
      <c r="K96" s="155">
        <v>0.75224697147323127</v>
      </c>
      <c r="L96" s="5" t="s">
        <v>394</v>
      </c>
      <c r="M96" s="5">
        <v>0.4051540399147453</v>
      </c>
      <c r="N96" s="5">
        <v>1.0740602596396047</v>
      </c>
      <c r="O96" s="5">
        <v>4.8238325905832209</v>
      </c>
      <c r="P96" s="5">
        <v>4.1870567719434213</v>
      </c>
      <c r="Q96" s="5">
        <v>9.8106665374927342</v>
      </c>
      <c r="R96" s="5">
        <v>8.7509688044952529</v>
      </c>
      <c r="S96" s="5">
        <v>3.4272718465413683</v>
      </c>
      <c r="T96" s="5">
        <v>32.479010850610344</v>
      </c>
      <c r="U96" s="5">
        <f t="shared" si="10"/>
        <v>188.04963762937331</v>
      </c>
      <c r="V96" s="5">
        <v>5.7587019219389739E-2</v>
      </c>
      <c r="W96" s="5">
        <v>0.15397039633290222</v>
      </c>
      <c r="X96" s="5">
        <v>4.563446321850561E-2</v>
      </c>
      <c r="Y96" s="5">
        <v>6.417081484162615E-2</v>
      </c>
      <c r="Z96" s="5">
        <v>1.1669989665165831E-2</v>
      </c>
      <c r="AA96" s="5">
        <v>2.2280355571388032E-2</v>
      </c>
      <c r="AB96" s="5">
        <v>5.9211775649769968E-2</v>
      </c>
      <c r="AC96" s="5" t="s">
        <v>128</v>
      </c>
      <c r="AD96" s="5">
        <v>0.41452481449874762</v>
      </c>
      <c r="AE96" s="5">
        <f t="shared" si="14"/>
        <v>0.40285482483358176</v>
      </c>
      <c r="AF96" s="66">
        <v>3.5264483627204031E-2</v>
      </c>
      <c r="AG96" s="250">
        <f t="shared" si="13"/>
        <v>0.23439432104419525</v>
      </c>
      <c r="AH96" s="88">
        <v>6.2167265304520178</v>
      </c>
      <c r="AI96" s="85" t="s">
        <v>69</v>
      </c>
      <c r="AJ96" s="85" t="s">
        <v>395</v>
      </c>
      <c r="AK96" s="85" t="s">
        <v>395</v>
      </c>
      <c r="AL96" s="85" t="s">
        <v>69</v>
      </c>
      <c r="AM96" s="85" t="s">
        <v>126</v>
      </c>
      <c r="AN96" s="85">
        <v>0.2331547233508017</v>
      </c>
      <c r="AO96" s="87" t="s">
        <v>126</v>
      </c>
      <c r="AP96" s="16" t="s">
        <v>395</v>
      </c>
      <c r="AQ96" s="87">
        <v>0.34173389075349847</v>
      </c>
      <c r="AR96" s="87" t="s">
        <v>65</v>
      </c>
      <c r="AS96" s="87" t="s">
        <v>131</v>
      </c>
      <c r="AT96" s="87" t="s">
        <v>131</v>
      </c>
      <c r="AU96" s="87" t="s">
        <v>131</v>
      </c>
      <c r="AV96" s="87">
        <v>0.28718914993424788</v>
      </c>
      <c r="AW96" s="85" t="s">
        <v>126</v>
      </c>
      <c r="AX96" s="85" t="s">
        <v>395</v>
      </c>
      <c r="AY96" s="85" t="s">
        <v>395</v>
      </c>
      <c r="AZ96" s="85" t="s">
        <v>395</v>
      </c>
      <c r="BA96" s="85" t="s">
        <v>395</v>
      </c>
      <c r="BB96" s="85" t="s">
        <v>395</v>
      </c>
      <c r="BC96" s="5" t="s">
        <v>395</v>
      </c>
      <c r="BD96" s="5" t="s">
        <v>395</v>
      </c>
      <c r="BE96" s="5" t="s">
        <v>395</v>
      </c>
      <c r="BF96" s="5" t="s">
        <v>395</v>
      </c>
      <c r="BG96" s="5" t="s">
        <v>395</v>
      </c>
      <c r="BH96" s="5" t="s">
        <v>395</v>
      </c>
      <c r="BI96" s="5" t="s">
        <v>395</v>
      </c>
      <c r="BJ96" s="5" t="s">
        <v>395</v>
      </c>
      <c r="BK96" s="5" t="s">
        <v>395</v>
      </c>
      <c r="BL96" s="5" t="s">
        <v>395</v>
      </c>
      <c r="BM96" s="5" t="s">
        <v>395</v>
      </c>
      <c r="BN96" s="5">
        <v>260</v>
      </c>
      <c r="BO96" s="57" t="s">
        <v>395</v>
      </c>
      <c r="BP96" s="57" t="s">
        <v>395</v>
      </c>
      <c r="BQ96" s="57" t="s">
        <v>395</v>
      </c>
      <c r="BR96" s="57" t="s">
        <v>395</v>
      </c>
      <c r="BS96" s="57" t="s">
        <v>395</v>
      </c>
      <c r="BT96" s="57" t="s">
        <v>395</v>
      </c>
      <c r="BU96" s="57" t="s">
        <v>395</v>
      </c>
      <c r="BV96" s="57" t="s">
        <v>395</v>
      </c>
      <c r="BW96" s="57" t="s">
        <v>395</v>
      </c>
      <c r="BX96" s="57" t="s">
        <v>395</v>
      </c>
      <c r="BY96" s="57" t="s">
        <v>395</v>
      </c>
      <c r="BZ96" s="57" t="s">
        <v>395</v>
      </c>
      <c r="CA96" s="57" t="s">
        <v>395</v>
      </c>
      <c r="CB96" s="57" t="s">
        <v>395</v>
      </c>
      <c r="CC96" s="57" t="s">
        <v>395</v>
      </c>
      <c r="CD96" s="57" t="s">
        <v>395</v>
      </c>
      <c r="CE96" s="57" t="s">
        <v>395</v>
      </c>
      <c r="CF96" s="57" t="s">
        <v>395</v>
      </c>
      <c r="CG96" s="57" t="s">
        <v>395</v>
      </c>
      <c r="CH96" s="16" t="s">
        <v>395</v>
      </c>
      <c r="CI96" s="16" t="s">
        <v>395</v>
      </c>
      <c r="CJ96" s="16" t="s">
        <v>395</v>
      </c>
      <c r="CK96" s="16" t="s">
        <v>395</v>
      </c>
      <c r="CL96" s="16" t="s">
        <v>395</v>
      </c>
      <c r="CM96" s="16" t="s">
        <v>395</v>
      </c>
      <c r="CN96" s="16" t="s">
        <v>395</v>
      </c>
      <c r="CO96" s="16" t="s">
        <v>395</v>
      </c>
      <c r="CP96" s="16" t="s">
        <v>395</v>
      </c>
      <c r="CQ96" s="16" t="s">
        <v>395</v>
      </c>
      <c r="CR96" s="16" t="s">
        <v>395</v>
      </c>
      <c r="CS96" s="16" t="s">
        <v>395</v>
      </c>
      <c r="CT96" s="16" t="s">
        <v>395</v>
      </c>
      <c r="CU96" s="16" t="s">
        <v>395</v>
      </c>
      <c r="CV96" s="16" t="s">
        <v>395</v>
      </c>
      <c r="CW96" s="16" t="s">
        <v>395</v>
      </c>
      <c r="CX96" s="16" t="s">
        <v>395</v>
      </c>
      <c r="CY96" s="97" t="s">
        <v>395</v>
      </c>
    </row>
    <row r="97" spans="1:103" x14ac:dyDescent="0.3">
      <c r="A97" s="98" t="s">
        <v>23</v>
      </c>
      <c r="B97" s="98" t="s">
        <v>23</v>
      </c>
      <c r="C97" s="132" t="s">
        <v>20</v>
      </c>
      <c r="D97" s="132"/>
      <c r="E97" s="98"/>
      <c r="F97" s="98"/>
      <c r="G97" s="245">
        <v>44075</v>
      </c>
      <c r="H97" s="1">
        <v>2020</v>
      </c>
      <c r="I97" s="75" t="s">
        <v>33</v>
      </c>
      <c r="J97" s="75">
        <v>10</v>
      </c>
      <c r="K97" s="155">
        <v>0.74007400740073848</v>
      </c>
      <c r="L97" s="5" t="s">
        <v>394</v>
      </c>
      <c r="M97" s="5">
        <v>0.12027608517499169</v>
      </c>
      <c r="N97" s="5">
        <v>0.71962922551022945</v>
      </c>
      <c r="O97" s="5">
        <v>2.7601247041799404</v>
      </c>
      <c r="P97" s="5">
        <v>2.1810097672893844</v>
      </c>
      <c r="Q97" s="5">
        <v>4.5397986577181211</v>
      </c>
      <c r="R97" s="5">
        <v>4.2994726749760304</v>
      </c>
      <c r="S97" s="5">
        <v>1.4090816119284386</v>
      </c>
      <c r="T97" s="5">
        <v>16.029392726777136</v>
      </c>
      <c r="U97" s="5">
        <f t="shared" si="10"/>
        <v>93.560798116161038</v>
      </c>
      <c r="V97" s="5">
        <v>3.1367494810090484E-2</v>
      </c>
      <c r="W97" s="5">
        <v>4.419965177785478E-2</v>
      </c>
      <c r="X97" s="5">
        <v>1.3319303667466453E-2</v>
      </c>
      <c r="Y97" s="5">
        <v>2.9145630594375742E-2</v>
      </c>
      <c r="Z97" s="5">
        <v>9.6122360990012132E-3</v>
      </c>
      <c r="AA97" s="5">
        <v>1.0907333422599599E-2</v>
      </c>
      <c r="AB97" s="5">
        <v>1.2653932565434229E-2</v>
      </c>
      <c r="AC97" s="5" t="s">
        <v>128</v>
      </c>
      <c r="AD97" s="5">
        <v>0.15120558293682251</v>
      </c>
      <c r="AE97" s="5">
        <f t="shared" si="14"/>
        <v>0.14159334683782127</v>
      </c>
      <c r="AF97" s="66">
        <v>1.8603759110088224E-2</v>
      </c>
      <c r="AG97" s="250">
        <f t="shared" si="13"/>
        <v>0.12568850496065714</v>
      </c>
      <c r="AH97" s="88">
        <v>31.004514573745347</v>
      </c>
      <c r="AI97" s="85" t="s">
        <v>69</v>
      </c>
      <c r="AJ97" s="85" t="s">
        <v>395</v>
      </c>
      <c r="AK97" s="85" t="s">
        <v>395</v>
      </c>
      <c r="AL97" s="85" t="s">
        <v>69</v>
      </c>
      <c r="AM97" s="85" t="s">
        <v>126</v>
      </c>
      <c r="AN97" s="86">
        <v>1.3287091825553365</v>
      </c>
      <c r="AO97" s="87">
        <v>0.31820074512382207</v>
      </c>
      <c r="AP97" s="16" t="s">
        <v>395</v>
      </c>
      <c r="AQ97" s="89">
        <v>1.5597413982029369</v>
      </c>
      <c r="AR97" s="87" t="s">
        <v>65</v>
      </c>
      <c r="AS97" s="89">
        <v>2.1564760026298488</v>
      </c>
      <c r="AT97" s="89">
        <v>1.4464168310322156</v>
      </c>
      <c r="AU97" s="89">
        <v>1.3412228796844183</v>
      </c>
      <c r="AV97" s="87">
        <v>0.19574841113302655</v>
      </c>
      <c r="AW97" s="85" t="s">
        <v>126</v>
      </c>
      <c r="AX97" s="85" t="s">
        <v>395</v>
      </c>
      <c r="AY97" s="85" t="s">
        <v>395</v>
      </c>
      <c r="AZ97" s="85" t="s">
        <v>395</v>
      </c>
      <c r="BA97" s="85" t="s">
        <v>395</v>
      </c>
      <c r="BB97" s="85" t="s">
        <v>395</v>
      </c>
      <c r="BC97" s="5" t="s">
        <v>395</v>
      </c>
      <c r="BD97" s="5" t="s">
        <v>395</v>
      </c>
      <c r="BE97" s="5" t="s">
        <v>395</v>
      </c>
      <c r="BF97" s="5" t="s">
        <v>395</v>
      </c>
      <c r="BG97" s="5" t="s">
        <v>395</v>
      </c>
      <c r="BH97" s="5" t="s">
        <v>395</v>
      </c>
      <c r="BI97" s="5" t="s">
        <v>395</v>
      </c>
      <c r="BJ97" s="5" t="s">
        <v>395</v>
      </c>
      <c r="BK97" s="5" t="s">
        <v>395</v>
      </c>
      <c r="BL97" s="5" t="s">
        <v>395</v>
      </c>
      <c r="BM97" s="5" t="s">
        <v>395</v>
      </c>
      <c r="BN97" s="5">
        <v>590</v>
      </c>
      <c r="BO97" s="57" t="s">
        <v>395</v>
      </c>
      <c r="BP97" s="57" t="s">
        <v>395</v>
      </c>
      <c r="BQ97" s="57" t="s">
        <v>395</v>
      </c>
      <c r="BR97" s="57" t="s">
        <v>395</v>
      </c>
      <c r="BS97" s="57" t="s">
        <v>395</v>
      </c>
      <c r="BT97" s="57" t="s">
        <v>395</v>
      </c>
      <c r="BU97" s="57" t="s">
        <v>395</v>
      </c>
      <c r="BV97" s="57" t="s">
        <v>395</v>
      </c>
      <c r="BW97" s="57" t="s">
        <v>395</v>
      </c>
      <c r="BX97" s="57" t="s">
        <v>395</v>
      </c>
      <c r="BY97" s="57" t="s">
        <v>395</v>
      </c>
      <c r="BZ97" s="57" t="s">
        <v>395</v>
      </c>
      <c r="CA97" s="57" t="s">
        <v>395</v>
      </c>
      <c r="CB97" s="57" t="s">
        <v>395</v>
      </c>
      <c r="CC97" s="57" t="s">
        <v>395</v>
      </c>
      <c r="CD97" s="57" t="s">
        <v>395</v>
      </c>
      <c r="CE97" s="57" t="s">
        <v>395</v>
      </c>
      <c r="CF97" s="57" t="s">
        <v>395</v>
      </c>
      <c r="CG97" s="57" t="s">
        <v>395</v>
      </c>
      <c r="CH97" s="16" t="s">
        <v>395</v>
      </c>
      <c r="CI97" s="16" t="s">
        <v>395</v>
      </c>
      <c r="CJ97" s="16" t="s">
        <v>395</v>
      </c>
      <c r="CK97" s="16" t="s">
        <v>395</v>
      </c>
      <c r="CL97" s="16" t="s">
        <v>395</v>
      </c>
      <c r="CM97" s="16" t="s">
        <v>395</v>
      </c>
      <c r="CN97" s="16" t="s">
        <v>395</v>
      </c>
      <c r="CO97" s="16" t="s">
        <v>395</v>
      </c>
      <c r="CP97" s="16" t="s">
        <v>395</v>
      </c>
      <c r="CQ97" s="16" t="s">
        <v>395</v>
      </c>
      <c r="CR97" s="16" t="s">
        <v>395</v>
      </c>
      <c r="CS97" s="16" t="s">
        <v>395</v>
      </c>
      <c r="CT97" s="16" t="s">
        <v>395</v>
      </c>
      <c r="CU97" s="16" t="s">
        <v>395</v>
      </c>
      <c r="CV97" s="16" t="s">
        <v>395</v>
      </c>
      <c r="CW97" s="16" t="s">
        <v>395</v>
      </c>
      <c r="CX97" s="16" t="s">
        <v>395</v>
      </c>
      <c r="CY97" s="97" t="s">
        <v>395</v>
      </c>
    </row>
    <row r="98" spans="1:103" x14ac:dyDescent="0.3">
      <c r="A98" s="98" t="s">
        <v>32</v>
      </c>
      <c r="B98" s="98" t="s">
        <v>32</v>
      </c>
      <c r="C98" s="132" t="s">
        <v>127</v>
      </c>
      <c r="D98" s="132"/>
      <c r="E98" s="98"/>
      <c r="F98" s="98"/>
      <c r="G98" s="245" t="s">
        <v>127</v>
      </c>
      <c r="H98" s="1">
        <v>2020</v>
      </c>
      <c r="I98" s="75" t="s">
        <v>3</v>
      </c>
      <c r="J98" s="75" t="s">
        <v>159</v>
      </c>
      <c r="K98" s="155" t="s">
        <v>395</v>
      </c>
      <c r="L98" s="5" t="s">
        <v>395</v>
      </c>
      <c r="M98" s="5" t="s">
        <v>395</v>
      </c>
      <c r="N98" s="5" t="s">
        <v>395</v>
      </c>
      <c r="O98" s="5" t="s">
        <v>395</v>
      </c>
      <c r="P98" s="5" t="s">
        <v>395</v>
      </c>
      <c r="Q98" s="5" t="s">
        <v>395</v>
      </c>
      <c r="R98" s="5" t="s">
        <v>395</v>
      </c>
      <c r="S98" s="5" t="s">
        <v>395</v>
      </c>
      <c r="T98" s="5" t="s">
        <v>394</v>
      </c>
      <c r="U98" s="5" t="s">
        <v>395</v>
      </c>
      <c r="V98" s="5" t="s">
        <v>76</v>
      </c>
      <c r="W98" s="5" t="s">
        <v>395</v>
      </c>
      <c r="X98" s="5" t="s">
        <v>66</v>
      </c>
      <c r="Y98" s="5" t="s">
        <v>395</v>
      </c>
      <c r="Z98" s="5" t="s">
        <v>76</v>
      </c>
      <c r="AA98" s="5" t="s">
        <v>76</v>
      </c>
      <c r="AB98" s="5" t="s">
        <v>76</v>
      </c>
      <c r="AC98" s="5" t="s">
        <v>128</v>
      </c>
      <c r="AD98" s="5" t="s">
        <v>394</v>
      </c>
      <c r="AE98" s="5" t="s">
        <v>394</v>
      </c>
      <c r="AF98" s="5" t="s">
        <v>395</v>
      </c>
      <c r="AG98" s="250" t="s">
        <v>395</v>
      </c>
      <c r="AH98" s="88" t="s">
        <v>395</v>
      </c>
      <c r="AI98" s="85" t="s">
        <v>69</v>
      </c>
      <c r="AJ98" s="85" t="s">
        <v>395</v>
      </c>
      <c r="AK98" s="85" t="s">
        <v>395</v>
      </c>
      <c r="AL98" s="85" t="s">
        <v>69</v>
      </c>
      <c r="AM98" s="85" t="s">
        <v>126</v>
      </c>
      <c r="AN98" s="85" t="s">
        <v>69</v>
      </c>
      <c r="AO98" s="87" t="s">
        <v>126</v>
      </c>
      <c r="AP98" s="16" t="s">
        <v>395</v>
      </c>
      <c r="AQ98" s="87" t="s">
        <v>69</v>
      </c>
      <c r="AR98" s="87" t="s">
        <v>65</v>
      </c>
      <c r="AS98" s="87" t="s">
        <v>131</v>
      </c>
      <c r="AT98" s="87" t="s">
        <v>131</v>
      </c>
      <c r="AU98" s="87" t="s">
        <v>131</v>
      </c>
      <c r="AV98" s="87" t="s">
        <v>65</v>
      </c>
      <c r="AW98" s="85" t="s">
        <v>126</v>
      </c>
      <c r="AX98" s="85" t="s">
        <v>395</v>
      </c>
      <c r="AY98" s="85" t="s">
        <v>395</v>
      </c>
      <c r="AZ98" s="85" t="s">
        <v>395</v>
      </c>
      <c r="BA98" s="85" t="s">
        <v>395</v>
      </c>
      <c r="BB98" s="85" t="s">
        <v>395</v>
      </c>
      <c r="BC98" s="5" t="s">
        <v>395</v>
      </c>
      <c r="BD98" s="5" t="s">
        <v>395</v>
      </c>
      <c r="BE98" s="5" t="s">
        <v>395</v>
      </c>
      <c r="BF98" s="5" t="s">
        <v>395</v>
      </c>
      <c r="BG98" s="5" t="s">
        <v>395</v>
      </c>
      <c r="BH98" s="5" t="s">
        <v>395</v>
      </c>
      <c r="BI98" s="5" t="s">
        <v>395</v>
      </c>
      <c r="BJ98" s="5" t="s">
        <v>395</v>
      </c>
      <c r="BK98" s="5" t="s">
        <v>395</v>
      </c>
      <c r="BL98" s="5" t="s">
        <v>395</v>
      </c>
      <c r="BM98" s="5" t="s">
        <v>395</v>
      </c>
      <c r="BN98" s="5" t="s">
        <v>395</v>
      </c>
      <c r="BO98" s="57" t="s">
        <v>395</v>
      </c>
      <c r="BP98" s="57" t="s">
        <v>395</v>
      </c>
      <c r="BQ98" s="57" t="s">
        <v>395</v>
      </c>
      <c r="BR98" s="57" t="s">
        <v>395</v>
      </c>
      <c r="BS98" s="57" t="s">
        <v>395</v>
      </c>
      <c r="BT98" s="57" t="s">
        <v>395</v>
      </c>
      <c r="BU98" s="57" t="s">
        <v>395</v>
      </c>
      <c r="BV98" s="57" t="s">
        <v>395</v>
      </c>
      <c r="BW98" s="57" t="s">
        <v>395</v>
      </c>
      <c r="BX98" s="57" t="s">
        <v>395</v>
      </c>
      <c r="BY98" s="57" t="s">
        <v>395</v>
      </c>
      <c r="BZ98" s="57" t="s">
        <v>395</v>
      </c>
      <c r="CA98" s="57" t="s">
        <v>395</v>
      </c>
      <c r="CB98" s="57" t="s">
        <v>395</v>
      </c>
      <c r="CC98" s="57" t="s">
        <v>395</v>
      </c>
      <c r="CD98" s="57" t="s">
        <v>395</v>
      </c>
      <c r="CE98" s="57" t="s">
        <v>395</v>
      </c>
      <c r="CF98" s="57" t="s">
        <v>395</v>
      </c>
      <c r="CG98" s="57" t="s">
        <v>395</v>
      </c>
      <c r="CH98" s="16" t="s">
        <v>395</v>
      </c>
      <c r="CI98" s="16" t="s">
        <v>395</v>
      </c>
      <c r="CJ98" s="16" t="s">
        <v>395</v>
      </c>
      <c r="CK98" s="16" t="s">
        <v>395</v>
      </c>
      <c r="CL98" s="16" t="s">
        <v>395</v>
      </c>
      <c r="CM98" s="16" t="s">
        <v>395</v>
      </c>
      <c r="CN98" s="16" t="s">
        <v>395</v>
      </c>
      <c r="CO98" s="16" t="s">
        <v>395</v>
      </c>
      <c r="CP98" s="16" t="s">
        <v>395</v>
      </c>
      <c r="CQ98" s="16" t="s">
        <v>395</v>
      </c>
      <c r="CR98" s="16" t="s">
        <v>395</v>
      </c>
      <c r="CS98" s="16" t="s">
        <v>395</v>
      </c>
      <c r="CT98" s="16" t="s">
        <v>395</v>
      </c>
      <c r="CU98" s="16" t="s">
        <v>395</v>
      </c>
      <c r="CV98" s="16" t="s">
        <v>395</v>
      </c>
      <c r="CW98" s="16" t="s">
        <v>395</v>
      </c>
      <c r="CX98" s="16" t="s">
        <v>395</v>
      </c>
      <c r="CY98" s="97" t="s">
        <v>395</v>
      </c>
    </row>
    <row r="99" spans="1:103" x14ac:dyDescent="0.3">
      <c r="A99" s="98" t="s">
        <v>32</v>
      </c>
      <c r="B99" s="98" t="s">
        <v>32</v>
      </c>
      <c r="C99" s="132" t="s">
        <v>31</v>
      </c>
      <c r="D99" s="132"/>
      <c r="E99" s="98"/>
      <c r="F99" s="98"/>
      <c r="G99" s="245" t="s">
        <v>31</v>
      </c>
      <c r="H99" s="1">
        <v>2019</v>
      </c>
      <c r="I99" s="75" t="s">
        <v>3</v>
      </c>
      <c r="J99" s="75" t="s">
        <v>159</v>
      </c>
      <c r="K99" s="155" t="s">
        <v>395</v>
      </c>
      <c r="L99" s="5" t="s">
        <v>395</v>
      </c>
      <c r="M99" s="5">
        <v>1.4999999999999999E-2</v>
      </c>
      <c r="N99" s="5">
        <v>2.3E-2</v>
      </c>
      <c r="O99" s="5">
        <v>0.01</v>
      </c>
      <c r="P99" s="5">
        <v>0.01</v>
      </c>
      <c r="Q99" s="5">
        <v>5.0000000000000001E-3</v>
      </c>
      <c r="R99" s="5">
        <v>0.01</v>
      </c>
      <c r="S99" s="5">
        <v>5.0000000000000001E-3</v>
      </c>
      <c r="T99" s="5" t="s">
        <v>395</v>
      </c>
      <c r="U99" s="5" t="s">
        <v>395</v>
      </c>
      <c r="V99" s="5">
        <v>1.2999999999999999E-2</v>
      </c>
      <c r="W99" s="5">
        <v>0.01</v>
      </c>
      <c r="X99" s="5">
        <v>1.2999999999999999E-2</v>
      </c>
      <c r="Y99" s="5">
        <v>1.4999999999999999E-2</v>
      </c>
      <c r="Z99" s="5">
        <v>0.01</v>
      </c>
      <c r="AA99" s="5">
        <v>0.02</v>
      </c>
      <c r="AB99" s="5">
        <v>1.2999999999999999E-2</v>
      </c>
      <c r="AC99" s="5">
        <v>0.1</v>
      </c>
      <c r="AD99" s="5" t="s">
        <v>394</v>
      </c>
      <c r="AE99" s="5" t="s">
        <v>395</v>
      </c>
      <c r="AF99" s="5">
        <v>0.01</v>
      </c>
      <c r="AG99" s="250" t="s">
        <v>395</v>
      </c>
      <c r="AH99" s="250">
        <v>0.2</v>
      </c>
      <c r="AI99" s="5">
        <v>0.2</v>
      </c>
      <c r="AJ99" s="5">
        <v>0.2</v>
      </c>
      <c r="AK99" s="5">
        <v>0.02</v>
      </c>
      <c r="AL99" s="5">
        <v>0.1</v>
      </c>
      <c r="AM99" s="5">
        <v>0.1</v>
      </c>
      <c r="AN99" s="5">
        <v>0.1</v>
      </c>
      <c r="AO99" s="5">
        <v>0.02</v>
      </c>
      <c r="AP99" s="5">
        <v>0.05</v>
      </c>
      <c r="AQ99" s="5">
        <v>0.1</v>
      </c>
      <c r="AR99" s="5">
        <v>0.05</v>
      </c>
      <c r="AS99" s="5" t="s">
        <v>395</v>
      </c>
      <c r="AT99" s="5" t="s">
        <v>395</v>
      </c>
      <c r="AU99" s="5" t="s">
        <v>395</v>
      </c>
      <c r="AV99" s="5" t="s">
        <v>395</v>
      </c>
      <c r="AW99" s="5" t="s">
        <v>395</v>
      </c>
      <c r="AX99" s="5" t="s">
        <v>395</v>
      </c>
      <c r="AY99" s="5" t="s">
        <v>395</v>
      </c>
      <c r="AZ99" s="5" t="s">
        <v>395</v>
      </c>
      <c r="BA99" s="5" t="s">
        <v>395</v>
      </c>
      <c r="BB99" s="5" t="s">
        <v>395</v>
      </c>
      <c r="BC99" s="5">
        <v>0.2</v>
      </c>
      <c r="BD99" s="5">
        <v>0.2</v>
      </c>
      <c r="BE99" s="5">
        <v>0.21</v>
      </c>
      <c r="BF99" s="5">
        <v>0.02</v>
      </c>
      <c r="BG99" s="5">
        <v>0.2</v>
      </c>
      <c r="BH99" s="5">
        <v>0.05</v>
      </c>
      <c r="BI99" s="5">
        <v>0.1</v>
      </c>
      <c r="BJ99" s="5">
        <v>0.1</v>
      </c>
      <c r="BK99" s="5">
        <v>0.05</v>
      </c>
      <c r="BL99" s="5">
        <v>0.1</v>
      </c>
      <c r="BM99" s="5">
        <v>0.05</v>
      </c>
      <c r="BN99" s="5">
        <v>0.03</v>
      </c>
      <c r="BO99" s="5">
        <v>0.04</v>
      </c>
      <c r="BP99" s="5">
        <v>0.4</v>
      </c>
      <c r="BQ99" s="5">
        <v>0.1</v>
      </c>
      <c r="BR99" s="5">
        <v>2.2999999999999998</v>
      </c>
      <c r="BS99" s="5">
        <v>0.2</v>
      </c>
      <c r="BT99" s="5">
        <v>1.7</v>
      </c>
      <c r="BU99" s="5">
        <v>2.5</v>
      </c>
      <c r="BV99" s="5">
        <v>0.2</v>
      </c>
      <c r="BW99" s="5">
        <v>0.2</v>
      </c>
      <c r="BX99" s="5">
        <v>0.2</v>
      </c>
      <c r="BY99" s="5">
        <v>0.2</v>
      </c>
      <c r="BZ99" s="5">
        <v>0.2</v>
      </c>
      <c r="CA99" s="5">
        <v>0.2</v>
      </c>
      <c r="CB99" s="5">
        <v>0.2</v>
      </c>
      <c r="CC99" s="5">
        <v>0.2</v>
      </c>
      <c r="CD99" s="5">
        <v>0.5</v>
      </c>
      <c r="CE99" s="5">
        <v>0.2</v>
      </c>
      <c r="CF99" s="5">
        <v>0.2</v>
      </c>
      <c r="CG99" s="5">
        <v>0.2</v>
      </c>
      <c r="CH99" s="5">
        <v>0.2</v>
      </c>
      <c r="CI99" s="16" t="s">
        <v>395</v>
      </c>
      <c r="CJ99" s="16" t="s">
        <v>395</v>
      </c>
      <c r="CK99" s="16" t="s">
        <v>395</v>
      </c>
      <c r="CL99" s="16" t="s">
        <v>395</v>
      </c>
      <c r="CM99" s="16" t="s">
        <v>395</v>
      </c>
      <c r="CN99" s="16" t="s">
        <v>395</v>
      </c>
      <c r="CO99" s="16" t="s">
        <v>395</v>
      </c>
      <c r="CP99" s="16" t="s">
        <v>395</v>
      </c>
      <c r="CQ99" s="16" t="s">
        <v>395</v>
      </c>
      <c r="CR99" s="16" t="s">
        <v>395</v>
      </c>
      <c r="CS99" s="16" t="s">
        <v>395</v>
      </c>
      <c r="CT99" s="16" t="s">
        <v>395</v>
      </c>
      <c r="CU99" s="16" t="s">
        <v>395</v>
      </c>
      <c r="CV99" s="16" t="s">
        <v>395</v>
      </c>
      <c r="CW99" s="16" t="s">
        <v>395</v>
      </c>
      <c r="CX99" s="16" t="s">
        <v>395</v>
      </c>
      <c r="CY99" s="97" t="s">
        <v>395</v>
      </c>
    </row>
    <row r="100" spans="1:103" x14ac:dyDescent="0.3">
      <c r="A100" s="98" t="s">
        <v>4</v>
      </c>
      <c r="B100" s="98" t="s">
        <v>4</v>
      </c>
      <c r="C100" s="132" t="s">
        <v>20</v>
      </c>
      <c r="D100" s="132"/>
      <c r="E100" s="98"/>
      <c r="F100" s="98"/>
      <c r="G100" s="245">
        <v>43686</v>
      </c>
      <c r="H100" s="1">
        <v>2019</v>
      </c>
      <c r="I100" s="75" t="s">
        <v>33</v>
      </c>
      <c r="J100" s="75">
        <v>10</v>
      </c>
      <c r="K100" s="155">
        <v>0.83021199366720599</v>
      </c>
      <c r="L100" s="5" t="s">
        <v>395</v>
      </c>
      <c r="M100" s="5">
        <v>0.22497125335377538</v>
      </c>
      <c r="N100" s="5">
        <v>0.60348792640858562</v>
      </c>
      <c r="O100" s="5">
        <v>2.3395362207742432</v>
      </c>
      <c r="P100" s="5">
        <v>2.2395458029896513</v>
      </c>
      <c r="Q100" s="5">
        <v>4.890216558068226</v>
      </c>
      <c r="R100" s="5">
        <v>4.691452663855884</v>
      </c>
      <c r="S100" s="5">
        <v>1.4649961671138367</v>
      </c>
      <c r="T100" s="5">
        <v>16.454206592564201</v>
      </c>
      <c r="U100" s="5">
        <f t="shared" si="10"/>
        <v>85.608621038981028</v>
      </c>
      <c r="V100" s="5" t="s">
        <v>60</v>
      </c>
      <c r="W100" s="5">
        <v>0.18322506491193266</v>
      </c>
      <c r="X100" s="5">
        <v>4.4396591060852995E-2</v>
      </c>
      <c r="Y100" s="5">
        <v>0.14642286984086617</v>
      </c>
      <c r="Z100" s="5" t="s">
        <v>72</v>
      </c>
      <c r="AA100" s="5" t="s">
        <v>56</v>
      </c>
      <c r="AB100" s="5">
        <v>2.6063594316000794E-2</v>
      </c>
      <c r="AC100" s="5" t="s">
        <v>65</v>
      </c>
      <c r="AD100" s="5">
        <v>0.40010812012965263</v>
      </c>
      <c r="AE100" s="5">
        <f>SUM(V100,W100,Y100,X100,AB100,AA100)</f>
        <v>0.40010812012965263</v>
      </c>
      <c r="AF100" s="5" t="s">
        <v>72</v>
      </c>
      <c r="AG100" s="250" t="s">
        <v>395</v>
      </c>
      <c r="AH100" s="250">
        <v>10.804367457515804</v>
      </c>
      <c r="AI100" s="5" t="s">
        <v>69</v>
      </c>
      <c r="AJ100" s="5" t="s">
        <v>65</v>
      </c>
      <c r="AK100" s="5" t="s">
        <v>69</v>
      </c>
      <c r="AL100" s="5" t="s">
        <v>69</v>
      </c>
      <c r="AM100" s="5" t="s">
        <v>126</v>
      </c>
      <c r="AN100" s="5">
        <v>0.95706428043674574</v>
      </c>
      <c r="AO100" s="5" t="s">
        <v>126</v>
      </c>
      <c r="AP100" s="5" t="s">
        <v>69</v>
      </c>
      <c r="AQ100" s="5">
        <v>0.59111184084503188</v>
      </c>
      <c r="AR100" s="5" t="s">
        <v>65</v>
      </c>
      <c r="AS100" s="5" t="s">
        <v>395</v>
      </c>
      <c r="AT100" s="5" t="s">
        <v>395</v>
      </c>
      <c r="AU100" s="5" t="s">
        <v>395</v>
      </c>
      <c r="AV100" s="5" t="s">
        <v>395</v>
      </c>
      <c r="AW100" s="5" t="s">
        <v>395</v>
      </c>
      <c r="AX100" s="5" t="s">
        <v>395</v>
      </c>
      <c r="AY100" s="5" t="s">
        <v>395</v>
      </c>
      <c r="AZ100" s="5" t="s">
        <v>395</v>
      </c>
      <c r="BA100" s="5" t="s">
        <v>395</v>
      </c>
      <c r="BB100" s="5" t="s">
        <v>395</v>
      </c>
      <c r="BC100" s="5" t="s">
        <v>395</v>
      </c>
      <c r="BD100" s="5" t="s">
        <v>395</v>
      </c>
      <c r="BE100" s="5" t="s">
        <v>395</v>
      </c>
      <c r="BF100" s="5" t="s">
        <v>395</v>
      </c>
      <c r="BG100" s="5" t="s">
        <v>395</v>
      </c>
      <c r="BH100" s="5" t="s">
        <v>395</v>
      </c>
      <c r="BI100" s="5" t="s">
        <v>395</v>
      </c>
      <c r="BJ100" s="5" t="s">
        <v>395</v>
      </c>
      <c r="BK100" s="5" t="s">
        <v>395</v>
      </c>
      <c r="BL100" s="5" t="s">
        <v>395</v>
      </c>
      <c r="BM100" s="5" t="s">
        <v>395</v>
      </c>
      <c r="BN100" s="5">
        <v>130</v>
      </c>
      <c r="BO100" s="5" t="s">
        <v>395</v>
      </c>
      <c r="BP100" s="5" t="s">
        <v>395</v>
      </c>
      <c r="BQ100" s="5" t="s">
        <v>395</v>
      </c>
      <c r="BR100" s="5" t="s">
        <v>395</v>
      </c>
      <c r="BS100" s="5" t="s">
        <v>395</v>
      </c>
      <c r="BT100" s="5" t="s">
        <v>395</v>
      </c>
      <c r="BU100" s="5" t="s">
        <v>395</v>
      </c>
      <c r="BV100" s="5" t="s">
        <v>395</v>
      </c>
      <c r="BW100" s="5" t="s">
        <v>395</v>
      </c>
      <c r="BX100" s="5" t="s">
        <v>395</v>
      </c>
      <c r="BY100" s="5" t="s">
        <v>395</v>
      </c>
      <c r="BZ100" s="5" t="s">
        <v>395</v>
      </c>
      <c r="CA100" s="5" t="s">
        <v>395</v>
      </c>
      <c r="CB100" s="5" t="s">
        <v>395</v>
      </c>
      <c r="CC100" s="5" t="s">
        <v>395</v>
      </c>
      <c r="CD100" s="5" t="s">
        <v>395</v>
      </c>
      <c r="CE100" s="5" t="s">
        <v>395</v>
      </c>
      <c r="CF100" s="5" t="s">
        <v>395</v>
      </c>
      <c r="CG100" s="5" t="s">
        <v>395</v>
      </c>
      <c r="CH100" s="5" t="s">
        <v>395</v>
      </c>
      <c r="CI100" s="16" t="s">
        <v>395</v>
      </c>
      <c r="CJ100" s="16" t="s">
        <v>395</v>
      </c>
      <c r="CK100" s="16" t="s">
        <v>395</v>
      </c>
      <c r="CL100" s="16" t="s">
        <v>395</v>
      </c>
      <c r="CM100" s="16" t="s">
        <v>395</v>
      </c>
      <c r="CN100" s="16" t="s">
        <v>395</v>
      </c>
      <c r="CO100" s="16" t="s">
        <v>395</v>
      </c>
      <c r="CP100" s="16" t="s">
        <v>395</v>
      </c>
      <c r="CQ100" s="16" t="s">
        <v>395</v>
      </c>
      <c r="CR100" s="16" t="s">
        <v>395</v>
      </c>
      <c r="CS100" s="16" t="s">
        <v>395</v>
      </c>
      <c r="CT100" s="16" t="s">
        <v>395</v>
      </c>
      <c r="CU100" s="16" t="s">
        <v>395</v>
      </c>
      <c r="CV100" s="16" t="s">
        <v>395</v>
      </c>
      <c r="CW100" s="16" t="s">
        <v>395</v>
      </c>
      <c r="CX100" s="16" t="s">
        <v>395</v>
      </c>
      <c r="CY100" s="97" t="s">
        <v>395</v>
      </c>
    </row>
    <row r="101" spans="1:103" x14ac:dyDescent="0.3">
      <c r="A101" s="98" t="s">
        <v>79</v>
      </c>
      <c r="B101" s="98" t="s">
        <v>79</v>
      </c>
      <c r="C101" s="132" t="s">
        <v>20</v>
      </c>
      <c r="D101" s="132"/>
      <c r="E101" s="98"/>
      <c r="F101" s="98"/>
      <c r="G101" s="245">
        <v>43686</v>
      </c>
      <c r="H101" s="1">
        <v>2019</v>
      </c>
      <c r="I101" s="75" t="s">
        <v>33</v>
      </c>
      <c r="J101" s="75">
        <v>10</v>
      </c>
      <c r="K101" s="155">
        <v>0.39822331138003603</v>
      </c>
      <c r="L101" s="5" t="s">
        <v>395</v>
      </c>
      <c r="M101" s="5">
        <v>0.29939006099390064</v>
      </c>
      <c r="N101" s="5">
        <v>0.81861813818618134</v>
      </c>
      <c r="O101" s="5">
        <v>3.2868413158684131</v>
      </c>
      <c r="P101" s="5">
        <v>2.5366363363663633</v>
      </c>
      <c r="Q101" s="5">
        <v>5.7010198980101991</v>
      </c>
      <c r="R101" s="5">
        <v>5.0114988501149886</v>
      </c>
      <c r="S101" s="5">
        <v>1.8338466153384663</v>
      </c>
      <c r="T101" s="5">
        <v>19.487851214878514</v>
      </c>
      <c r="U101" s="5">
        <f t="shared" si="10"/>
        <v>212.83554219575956</v>
      </c>
      <c r="V101" s="5" t="s">
        <v>60</v>
      </c>
      <c r="W101" s="5">
        <v>0.11255435827323754</v>
      </c>
      <c r="X101" s="5" t="s">
        <v>60</v>
      </c>
      <c r="Y101" s="5">
        <v>2.1196652857728832E-2</v>
      </c>
      <c r="Z101" s="5" t="s">
        <v>72</v>
      </c>
      <c r="AA101" s="5" t="s">
        <v>56</v>
      </c>
      <c r="AB101" s="5">
        <v>4.5162868376585445E-2</v>
      </c>
      <c r="AC101" s="5" t="s">
        <v>65</v>
      </c>
      <c r="AD101" s="5">
        <v>0.17891387950755183</v>
      </c>
      <c r="AE101" s="5">
        <f t="shared" ref="AE101:AE122" si="15">SUM(V101,W101,Y101,X101,AB101,AA101)</f>
        <v>0.17891387950755183</v>
      </c>
      <c r="AF101" s="5" t="s">
        <v>72</v>
      </c>
      <c r="AG101" s="250" t="s">
        <v>395</v>
      </c>
      <c r="AH101" s="250">
        <v>5.7153647386205524</v>
      </c>
      <c r="AI101" s="5" t="s">
        <v>69</v>
      </c>
      <c r="AJ101" s="5" t="s">
        <v>65</v>
      </c>
      <c r="AK101" s="5" t="s">
        <v>69</v>
      </c>
      <c r="AL101" s="5" t="s">
        <v>69</v>
      </c>
      <c r="AM101" s="5" t="s">
        <v>126</v>
      </c>
      <c r="AN101" s="5">
        <v>0.44404690916318829</v>
      </c>
      <c r="AO101" s="5" t="s">
        <v>126</v>
      </c>
      <c r="AP101" s="5" t="s">
        <v>69</v>
      </c>
      <c r="AQ101" s="5">
        <v>0.30116610349168493</v>
      </c>
      <c r="AR101" s="5" t="s">
        <v>65</v>
      </c>
      <c r="AS101" s="5" t="s">
        <v>395</v>
      </c>
      <c r="AT101" s="5" t="s">
        <v>395</v>
      </c>
      <c r="AU101" s="5" t="s">
        <v>395</v>
      </c>
      <c r="AV101" s="5" t="s">
        <v>395</v>
      </c>
      <c r="AW101" s="5" t="s">
        <v>395</v>
      </c>
      <c r="AX101" s="5" t="s">
        <v>395</v>
      </c>
      <c r="AY101" s="5" t="s">
        <v>395</v>
      </c>
      <c r="AZ101" s="5" t="s">
        <v>395</v>
      </c>
      <c r="BA101" s="5" t="s">
        <v>395</v>
      </c>
      <c r="BB101" s="5" t="s">
        <v>395</v>
      </c>
      <c r="BC101" s="5" t="s">
        <v>395</v>
      </c>
      <c r="BD101" s="5" t="s">
        <v>395</v>
      </c>
      <c r="BE101" s="5" t="s">
        <v>395</v>
      </c>
      <c r="BF101" s="5" t="s">
        <v>395</v>
      </c>
      <c r="BG101" s="5" t="s">
        <v>395</v>
      </c>
      <c r="BH101" s="5" t="s">
        <v>395</v>
      </c>
      <c r="BI101" s="5" t="s">
        <v>395</v>
      </c>
      <c r="BJ101" s="5" t="s">
        <v>395</v>
      </c>
      <c r="BK101" s="5" t="s">
        <v>395</v>
      </c>
      <c r="BL101" s="5" t="s">
        <v>395</v>
      </c>
      <c r="BM101" s="5" t="s">
        <v>395</v>
      </c>
      <c r="BN101" s="5">
        <v>100</v>
      </c>
      <c r="BO101" s="5" t="s">
        <v>395</v>
      </c>
      <c r="BP101" s="5" t="s">
        <v>395</v>
      </c>
      <c r="BQ101" s="5" t="s">
        <v>395</v>
      </c>
      <c r="BR101" s="5" t="s">
        <v>395</v>
      </c>
      <c r="BS101" s="5" t="s">
        <v>395</v>
      </c>
      <c r="BT101" s="5" t="s">
        <v>395</v>
      </c>
      <c r="BU101" s="5" t="s">
        <v>395</v>
      </c>
      <c r="BV101" s="5" t="s">
        <v>395</v>
      </c>
      <c r="BW101" s="5" t="s">
        <v>395</v>
      </c>
      <c r="BX101" s="5" t="s">
        <v>395</v>
      </c>
      <c r="BY101" s="5" t="s">
        <v>395</v>
      </c>
      <c r="BZ101" s="5" t="s">
        <v>395</v>
      </c>
      <c r="CA101" s="5" t="s">
        <v>395</v>
      </c>
      <c r="CB101" s="5" t="s">
        <v>395</v>
      </c>
      <c r="CC101" s="5" t="s">
        <v>395</v>
      </c>
      <c r="CD101" s="5" t="s">
        <v>395</v>
      </c>
      <c r="CE101" s="5" t="s">
        <v>395</v>
      </c>
      <c r="CF101" s="5" t="s">
        <v>395</v>
      </c>
      <c r="CG101" s="5" t="s">
        <v>395</v>
      </c>
      <c r="CH101" s="5" t="s">
        <v>395</v>
      </c>
      <c r="CI101" s="5" t="s">
        <v>395</v>
      </c>
      <c r="CJ101" s="5" t="s">
        <v>395</v>
      </c>
      <c r="CK101" s="5" t="s">
        <v>395</v>
      </c>
      <c r="CL101" s="5" t="s">
        <v>395</v>
      </c>
      <c r="CM101" s="5" t="s">
        <v>395</v>
      </c>
      <c r="CN101" s="5" t="s">
        <v>395</v>
      </c>
      <c r="CO101" s="5" t="s">
        <v>395</v>
      </c>
      <c r="CP101" s="5" t="s">
        <v>395</v>
      </c>
      <c r="CQ101" s="5" t="s">
        <v>395</v>
      </c>
      <c r="CR101" s="5" t="s">
        <v>395</v>
      </c>
      <c r="CS101" s="5" t="s">
        <v>395</v>
      </c>
      <c r="CT101" s="5" t="s">
        <v>395</v>
      </c>
      <c r="CU101" s="5" t="s">
        <v>395</v>
      </c>
      <c r="CV101" s="5" t="s">
        <v>395</v>
      </c>
      <c r="CW101" s="5" t="s">
        <v>395</v>
      </c>
      <c r="CX101" s="5" t="s">
        <v>395</v>
      </c>
      <c r="CY101" s="252" t="s">
        <v>395</v>
      </c>
    </row>
    <row r="102" spans="1:103" x14ac:dyDescent="0.3">
      <c r="A102" s="98" t="s">
        <v>112</v>
      </c>
      <c r="B102" s="98" t="s">
        <v>24</v>
      </c>
      <c r="C102" s="132" t="s">
        <v>20</v>
      </c>
      <c r="D102" s="132"/>
      <c r="E102" s="98"/>
      <c r="F102" s="98"/>
      <c r="G102" s="245">
        <v>43685</v>
      </c>
      <c r="H102" s="1">
        <v>2019</v>
      </c>
      <c r="I102" s="75" t="s">
        <v>33</v>
      </c>
      <c r="J102" s="75">
        <v>10</v>
      </c>
      <c r="K102" s="155">
        <v>0.44901881074688993</v>
      </c>
      <c r="L102" s="5" t="s">
        <v>395</v>
      </c>
      <c r="M102" s="5">
        <v>0.10026748184944594</v>
      </c>
      <c r="N102" s="5">
        <v>0.79701948796331668</v>
      </c>
      <c r="O102" s="5">
        <v>2.4854508979747805</v>
      </c>
      <c r="P102" s="5">
        <v>1.0611004967520061</v>
      </c>
      <c r="Q102" s="5">
        <v>4.2180550248376001</v>
      </c>
      <c r="R102" s="5">
        <v>2.264807030951471</v>
      </c>
      <c r="S102" s="5">
        <v>1.3653515475735576</v>
      </c>
      <c r="T102" s="5">
        <v>12.292051967902175</v>
      </c>
      <c r="U102" s="5">
        <f t="shared" si="10"/>
        <v>125.0610353324486</v>
      </c>
      <c r="V102" s="5" t="s">
        <v>60</v>
      </c>
      <c r="W102" s="5">
        <v>7.3880672388570948E-2</v>
      </c>
      <c r="X102" s="5" t="s">
        <v>60</v>
      </c>
      <c r="Y102" s="5">
        <v>2.7128343796613136E-2</v>
      </c>
      <c r="Z102" s="5" t="s">
        <v>72</v>
      </c>
      <c r="AA102" s="5" t="s">
        <v>56</v>
      </c>
      <c r="AB102" s="5" t="s">
        <v>60</v>
      </c>
      <c r="AC102" s="5" t="s">
        <v>65</v>
      </c>
      <c r="AD102" s="5">
        <v>0.10100901618518408</v>
      </c>
      <c r="AE102" s="5">
        <f t="shared" si="15"/>
        <v>0.10100901618518408</v>
      </c>
      <c r="AF102" s="5">
        <v>9.6484524264424925E-3</v>
      </c>
      <c r="AG102" s="250">
        <f>AF102*(5/K102)</f>
        <v>0.1074392897971627</v>
      </c>
      <c r="AH102" s="250">
        <v>3.3044948136765266</v>
      </c>
      <c r="AI102" s="5" t="s">
        <v>69</v>
      </c>
      <c r="AJ102" s="5" t="s">
        <v>65</v>
      </c>
      <c r="AK102" s="5" t="s">
        <v>69</v>
      </c>
      <c r="AL102" s="5" t="s">
        <v>69</v>
      </c>
      <c r="AM102" s="5" t="s">
        <v>126</v>
      </c>
      <c r="AN102" s="5">
        <v>0.34560122935074916</v>
      </c>
      <c r="AO102" s="5" t="s">
        <v>126</v>
      </c>
      <c r="AP102" s="5" t="s">
        <v>69</v>
      </c>
      <c r="AQ102" s="5">
        <v>0.22130874631835062</v>
      </c>
      <c r="AR102" s="5" t="s">
        <v>65</v>
      </c>
      <c r="AS102" s="5" t="s">
        <v>395</v>
      </c>
      <c r="AT102" s="5" t="s">
        <v>395</v>
      </c>
      <c r="AU102" s="5" t="s">
        <v>395</v>
      </c>
      <c r="AV102" s="5" t="s">
        <v>395</v>
      </c>
      <c r="AW102" s="5" t="s">
        <v>395</v>
      </c>
      <c r="AX102" s="5" t="s">
        <v>395</v>
      </c>
      <c r="AY102" s="5" t="s">
        <v>395</v>
      </c>
      <c r="AZ102" s="5" t="s">
        <v>395</v>
      </c>
      <c r="BA102" s="5" t="s">
        <v>395</v>
      </c>
      <c r="BB102" s="5" t="s">
        <v>395</v>
      </c>
      <c r="BC102" s="5" t="s">
        <v>395</v>
      </c>
      <c r="BD102" s="5" t="s">
        <v>395</v>
      </c>
      <c r="BE102" s="5" t="s">
        <v>395</v>
      </c>
      <c r="BF102" s="5" t="s">
        <v>395</v>
      </c>
      <c r="BG102" s="5" t="s">
        <v>395</v>
      </c>
      <c r="BH102" s="5" t="s">
        <v>395</v>
      </c>
      <c r="BI102" s="5" t="s">
        <v>395</v>
      </c>
      <c r="BJ102" s="5" t="s">
        <v>395</v>
      </c>
      <c r="BK102" s="5" t="s">
        <v>395</v>
      </c>
      <c r="BL102" s="5" t="s">
        <v>395</v>
      </c>
      <c r="BM102" s="5" t="s">
        <v>395</v>
      </c>
      <c r="BN102" s="5">
        <v>190</v>
      </c>
      <c r="BO102" s="5" t="s">
        <v>395</v>
      </c>
      <c r="BP102" s="5" t="s">
        <v>395</v>
      </c>
      <c r="BQ102" s="5" t="s">
        <v>395</v>
      </c>
      <c r="BR102" s="5" t="s">
        <v>395</v>
      </c>
      <c r="BS102" s="5" t="s">
        <v>395</v>
      </c>
      <c r="BT102" s="5" t="s">
        <v>395</v>
      </c>
      <c r="BU102" s="5" t="s">
        <v>395</v>
      </c>
      <c r="BV102" s="5" t="s">
        <v>395</v>
      </c>
      <c r="BW102" s="5" t="s">
        <v>395</v>
      </c>
      <c r="BX102" s="5" t="s">
        <v>395</v>
      </c>
      <c r="BY102" s="5" t="s">
        <v>395</v>
      </c>
      <c r="BZ102" s="5" t="s">
        <v>395</v>
      </c>
      <c r="CA102" s="5" t="s">
        <v>395</v>
      </c>
      <c r="CB102" s="5" t="s">
        <v>395</v>
      </c>
      <c r="CC102" s="5" t="s">
        <v>395</v>
      </c>
      <c r="CD102" s="5" t="s">
        <v>395</v>
      </c>
      <c r="CE102" s="5" t="s">
        <v>395</v>
      </c>
      <c r="CF102" s="5" t="s">
        <v>395</v>
      </c>
      <c r="CG102" s="5" t="s">
        <v>395</v>
      </c>
      <c r="CH102" s="5" t="s">
        <v>395</v>
      </c>
      <c r="CI102" s="5" t="s">
        <v>395</v>
      </c>
      <c r="CJ102" s="5" t="s">
        <v>395</v>
      </c>
      <c r="CK102" s="5" t="s">
        <v>395</v>
      </c>
      <c r="CL102" s="5" t="s">
        <v>395</v>
      </c>
      <c r="CM102" s="5" t="s">
        <v>395</v>
      </c>
      <c r="CN102" s="5" t="s">
        <v>395</v>
      </c>
      <c r="CO102" s="5" t="s">
        <v>395</v>
      </c>
      <c r="CP102" s="5" t="s">
        <v>395</v>
      </c>
      <c r="CQ102" s="5" t="s">
        <v>395</v>
      </c>
      <c r="CR102" s="5" t="s">
        <v>395</v>
      </c>
      <c r="CS102" s="5" t="s">
        <v>395</v>
      </c>
      <c r="CT102" s="5" t="s">
        <v>395</v>
      </c>
      <c r="CU102" s="5" t="s">
        <v>395</v>
      </c>
      <c r="CV102" s="5" t="s">
        <v>395</v>
      </c>
      <c r="CW102" s="5" t="s">
        <v>395</v>
      </c>
      <c r="CX102" s="5" t="s">
        <v>395</v>
      </c>
      <c r="CY102" s="252" t="s">
        <v>395</v>
      </c>
    </row>
    <row r="103" spans="1:103" x14ac:dyDescent="0.3">
      <c r="A103" s="98" t="s">
        <v>21</v>
      </c>
      <c r="B103" s="98" t="s">
        <v>21</v>
      </c>
      <c r="C103" s="132" t="s">
        <v>20</v>
      </c>
      <c r="D103" s="132"/>
      <c r="E103" s="98"/>
      <c r="F103" s="98"/>
      <c r="G103" s="245">
        <v>43683</v>
      </c>
      <c r="H103" s="1">
        <v>2019</v>
      </c>
      <c r="I103" s="75" t="s">
        <v>33</v>
      </c>
      <c r="J103" s="75">
        <v>10</v>
      </c>
      <c r="K103" s="155">
        <v>0.42139323137124202</v>
      </c>
      <c r="L103" s="5" t="s">
        <v>395</v>
      </c>
      <c r="M103" s="5" t="s">
        <v>62</v>
      </c>
      <c r="N103" s="5">
        <v>5.2946111330438216E-2</v>
      </c>
      <c r="O103" s="5">
        <v>0.34262238452427951</v>
      </c>
      <c r="P103" s="5">
        <v>0.28961705487564149</v>
      </c>
      <c r="Q103" s="5">
        <v>1.2236971969996053</v>
      </c>
      <c r="R103" s="5">
        <v>1.0693347808922229</v>
      </c>
      <c r="S103" s="5">
        <v>0.4278819581523885</v>
      </c>
      <c r="T103" s="5">
        <v>3.4060994867745764</v>
      </c>
      <c r="U103" s="5">
        <f t="shared" si="10"/>
        <v>36.978316212598983</v>
      </c>
      <c r="V103" s="5" t="s">
        <v>60</v>
      </c>
      <c r="W103" s="5">
        <v>7.6371243932805144E-2</v>
      </c>
      <c r="X103" s="5" t="s">
        <v>60</v>
      </c>
      <c r="Y103" s="5">
        <v>3.8112142408476872E-2</v>
      </c>
      <c r="Z103" s="5" t="s">
        <v>72</v>
      </c>
      <c r="AA103" s="5" t="s">
        <v>56</v>
      </c>
      <c r="AB103" s="5" t="s">
        <v>60</v>
      </c>
      <c r="AC103" s="5" t="s">
        <v>65</v>
      </c>
      <c r="AD103" s="5">
        <v>0.11448338634128202</v>
      </c>
      <c r="AE103" s="5">
        <f t="shared" si="15"/>
        <v>0.11448338634128202</v>
      </c>
      <c r="AF103" s="5" t="s">
        <v>72</v>
      </c>
      <c r="AG103" s="250" t="s">
        <v>395</v>
      </c>
      <c r="AH103" s="250">
        <v>18.356820163271774</v>
      </c>
      <c r="AI103" s="5" t="s">
        <v>69</v>
      </c>
      <c r="AJ103" s="5" t="s">
        <v>65</v>
      </c>
      <c r="AK103" s="5" t="s">
        <v>69</v>
      </c>
      <c r="AL103" s="5" t="s">
        <v>69</v>
      </c>
      <c r="AM103" s="5" t="s">
        <v>126</v>
      </c>
      <c r="AN103" s="5">
        <v>0.93191725449789964</v>
      </c>
      <c r="AO103" s="5">
        <v>0.41272885789014818</v>
      </c>
      <c r="AP103" s="5" t="s">
        <v>69</v>
      </c>
      <c r="AQ103" s="5">
        <v>0.4708197934004385</v>
      </c>
      <c r="AR103" s="5" t="s">
        <v>65</v>
      </c>
      <c r="AS103" s="5" t="s">
        <v>395</v>
      </c>
      <c r="AT103" s="5" t="s">
        <v>395</v>
      </c>
      <c r="AU103" s="5" t="s">
        <v>395</v>
      </c>
      <c r="AV103" s="5" t="s">
        <v>395</v>
      </c>
      <c r="AW103" s="5" t="s">
        <v>395</v>
      </c>
      <c r="AX103" s="5" t="s">
        <v>395</v>
      </c>
      <c r="AY103" s="5" t="s">
        <v>395</v>
      </c>
      <c r="AZ103" s="5" t="s">
        <v>395</v>
      </c>
      <c r="BA103" s="5" t="s">
        <v>395</v>
      </c>
      <c r="BB103" s="5" t="s">
        <v>395</v>
      </c>
      <c r="BC103" s="5" t="s">
        <v>395</v>
      </c>
      <c r="BD103" s="5" t="s">
        <v>395</v>
      </c>
      <c r="BE103" s="5" t="s">
        <v>395</v>
      </c>
      <c r="BF103" s="5" t="s">
        <v>395</v>
      </c>
      <c r="BG103" s="5" t="s">
        <v>395</v>
      </c>
      <c r="BH103" s="5" t="s">
        <v>395</v>
      </c>
      <c r="BI103" s="5" t="s">
        <v>395</v>
      </c>
      <c r="BJ103" s="5" t="s">
        <v>395</v>
      </c>
      <c r="BK103" s="5" t="s">
        <v>395</v>
      </c>
      <c r="BL103" s="5" t="s">
        <v>395</v>
      </c>
      <c r="BM103" s="5" t="s">
        <v>395</v>
      </c>
      <c r="BN103" s="5">
        <v>120</v>
      </c>
      <c r="BO103" s="5" t="s">
        <v>395</v>
      </c>
      <c r="BP103" s="5" t="s">
        <v>395</v>
      </c>
      <c r="BQ103" s="5" t="s">
        <v>395</v>
      </c>
      <c r="BR103" s="5" t="s">
        <v>395</v>
      </c>
      <c r="BS103" s="5" t="s">
        <v>395</v>
      </c>
      <c r="BT103" s="5" t="s">
        <v>395</v>
      </c>
      <c r="BU103" s="5" t="s">
        <v>395</v>
      </c>
      <c r="BV103" s="5" t="s">
        <v>395</v>
      </c>
      <c r="BW103" s="5" t="s">
        <v>395</v>
      </c>
      <c r="BX103" s="5" t="s">
        <v>395</v>
      </c>
      <c r="BY103" s="5" t="s">
        <v>395</v>
      </c>
      <c r="BZ103" s="5" t="s">
        <v>395</v>
      </c>
      <c r="CA103" s="5" t="s">
        <v>395</v>
      </c>
      <c r="CB103" s="5" t="s">
        <v>395</v>
      </c>
      <c r="CC103" s="5" t="s">
        <v>395</v>
      </c>
      <c r="CD103" s="5" t="s">
        <v>395</v>
      </c>
      <c r="CE103" s="5" t="s">
        <v>395</v>
      </c>
      <c r="CF103" s="5" t="s">
        <v>395</v>
      </c>
      <c r="CG103" s="5" t="s">
        <v>395</v>
      </c>
      <c r="CH103" s="5" t="s">
        <v>395</v>
      </c>
      <c r="CI103" s="5" t="s">
        <v>395</v>
      </c>
      <c r="CJ103" s="5" t="s">
        <v>395</v>
      </c>
      <c r="CK103" s="5" t="s">
        <v>395</v>
      </c>
      <c r="CL103" s="5" t="s">
        <v>395</v>
      </c>
      <c r="CM103" s="5" t="s">
        <v>395</v>
      </c>
      <c r="CN103" s="5" t="s">
        <v>395</v>
      </c>
      <c r="CO103" s="5" t="s">
        <v>395</v>
      </c>
      <c r="CP103" s="5" t="s">
        <v>395</v>
      </c>
      <c r="CQ103" s="5" t="s">
        <v>395</v>
      </c>
      <c r="CR103" s="5" t="s">
        <v>395</v>
      </c>
      <c r="CS103" s="5" t="s">
        <v>395</v>
      </c>
      <c r="CT103" s="5" t="s">
        <v>395</v>
      </c>
      <c r="CU103" s="5" t="s">
        <v>395</v>
      </c>
      <c r="CV103" s="5" t="s">
        <v>395</v>
      </c>
      <c r="CW103" s="5" t="s">
        <v>395</v>
      </c>
      <c r="CX103" s="5" t="s">
        <v>395</v>
      </c>
      <c r="CY103" s="252" t="s">
        <v>395</v>
      </c>
    </row>
    <row r="104" spans="1:103" x14ac:dyDescent="0.3">
      <c r="A104" s="98" t="s">
        <v>22</v>
      </c>
      <c r="B104" s="98" t="s">
        <v>22</v>
      </c>
      <c r="C104" s="132" t="s">
        <v>20</v>
      </c>
      <c r="D104" s="132"/>
      <c r="E104" s="98"/>
      <c r="F104" s="98"/>
      <c r="G104" s="245">
        <v>43682</v>
      </c>
      <c r="H104" s="1">
        <v>2019</v>
      </c>
      <c r="I104" s="75" t="s">
        <v>33</v>
      </c>
      <c r="J104" s="75">
        <v>10</v>
      </c>
      <c r="K104" s="155">
        <v>0.42921450256481003</v>
      </c>
      <c r="L104" s="5" t="s">
        <v>395</v>
      </c>
      <c r="M104" s="5">
        <v>0.5265076414704668</v>
      </c>
      <c r="N104" s="5">
        <v>1.4337773647253202</v>
      </c>
      <c r="O104" s="5">
        <v>4.7160161090458494</v>
      </c>
      <c r="P104" s="5">
        <v>3.8272614622057004</v>
      </c>
      <c r="Q104" s="5">
        <v>9.4286555142503108</v>
      </c>
      <c r="R104" s="5">
        <v>8.7030152829409335</v>
      </c>
      <c r="S104" s="5">
        <v>3.287691036761669</v>
      </c>
      <c r="T104" s="5">
        <v>31.922924411400249</v>
      </c>
      <c r="U104" s="5">
        <f t="shared" si="10"/>
        <v>327.2916313557252</v>
      </c>
      <c r="V104" s="5" t="s">
        <v>60</v>
      </c>
      <c r="W104" s="5">
        <v>0.23090447638088935</v>
      </c>
      <c r="X104" s="5">
        <v>5.892150149744016E-2</v>
      </c>
      <c r="Y104" s="5">
        <v>0.20270318682371069</v>
      </c>
      <c r="Z104" s="5" t="s">
        <v>72</v>
      </c>
      <c r="AA104" s="5" t="s">
        <v>56</v>
      </c>
      <c r="AB104" s="5">
        <v>3.752608816913406E-2</v>
      </c>
      <c r="AC104" s="5" t="s">
        <v>65</v>
      </c>
      <c r="AD104" s="5">
        <v>0.53005525287117428</v>
      </c>
      <c r="AE104" s="5">
        <f t="shared" si="15"/>
        <v>0.53005525287117428</v>
      </c>
      <c r="AF104" s="5" t="s">
        <v>72</v>
      </c>
      <c r="AG104" s="250" t="s">
        <v>395</v>
      </c>
      <c r="AH104" s="250">
        <v>11.539823008849558</v>
      </c>
      <c r="AI104" s="5" t="s">
        <v>69</v>
      </c>
      <c r="AJ104" s="5" t="s">
        <v>65</v>
      </c>
      <c r="AK104" s="5" t="s">
        <v>69</v>
      </c>
      <c r="AL104" s="5" t="s">
        <v>69</v>
      </c>
      <c r="AM104" s="5" t="s">
        <v>126</v>
      </c>
      <c r="AN104" s="5">
        <v>0.61305832346177958</v>
      </c>
      <c r="AO104" s="5" t="s">
        <v>126</v>
      </c>
      <c r="AP104" s="5" t="s">
        <v>69</v>
      </c>
      <c r="AQ104" s="5">
        <v>0.48012914314914168</v>
      </c>
      <c r="AR104" s="5" t="s">
        <v>65</v>
      </c>
      <c r="AS104" s="5" t="s">
        <v>395</v>
      </c>
      <c r="AT104" s="5" t="s">
        <v>395</v>
      </c>
      <c r="AU104" s="5" t="s">
        <v>395</v>
      </c>
      <c r="AV104" s="5" t="s">
        <v>395</v>
      </c>
      <c r="AW104" s="5" t="s">
        <v>395</v>
      </c>
      <c r="AX104" s="5" t="s">
        <v>395</v>
      </c>
      <c r="AY104" s="5" t="s">
        <v>395</v>
      </c>
      <c r="AZ104" s="5" t="s">
        <v>395</v>
      </c>
      <c r="BA104" s="5" t="s">
        <v>395</v>
      </c>
      <c r="BB104" s="5" t="s">
        <v>395</v>
      </c>
      <c r="BC104" s="5" t="s">
        <v>395</v>
      </c>
      <c r="BD104" s="5" t="s">
        <v>395</v>
      </c>
      <c r="BE104" s="5" t="s">
        <v>395</v>
      </c>
      <c r="BF104" s="5" t="s">
        <v>395</v>
      </c>
      <c r="BG104" s="5" t="s">
        <v>395</v>
      </c>
      <c r="BH104" s="5" t="s">
        <v>395</v>
      </c>
      <c r="BI104" s="5" t="s">
        <v>395</v>
      </c>
      <c r="BJ104" s="5" t="s">
        <v>395</v>
      </c>
      <c r="BK104" s="5" t="s">
        <v>395</v>
      </c>
      <c r="BL104" s="5" t="s">
        <v>395</v>
      </c>
      <c r="BM104" s="5" t="s">
        <v>395</v>
      </c>
      <c r="BN104" s="5">
        <v>99</v>
      </c>
      <c r="BO104" s="5" t="s">
        <v>395</v>
      </c>
      <c r="BP104" s="5" t="s">
        <v>395</v>
      </c>
      <c r="BQ104" s="5" t="s">
        <v>395</v>
      </c>
      <c r="BR104" s="5" t="s">
        <v>395</v>
      </c>
      <c r="BS104" s="5" t="s">
        <v>395</v>
      </c>
      <c r="BT104" s="5" t="s">
        <v>395</v>
      </c>
      <c r="BU104" s="5" t="s">
        <v>395</v>
      </c>
      <c r="BV104" s="5" t="s">
        <v>395</v>
      </c>
      <c r="BW104" s="5" t="s">
        <v>395</v>
      </c>
      <c r="BX104" s="5" t="s">
        <v>395</v>
      </c>
      <c r="BY104" s="5" t="s">
        <v>395</v>
      </c>
      <c r="BZ104" s="5" t="s">
        <v>395</v>
      </c>
      <c r="CA104" s="5" t="s">
        <v>395</v>
      </c>
      <c r="CB104" s="5" t="s">
        <v>395</v>
      </c>
      <c r="CC104" s="5" t="s">
        <v>395</v>
      </c>
      <c r="CD104" s="5" t="s">
        <v>395</v>
      </c>
      <c r="CE104" s="5" t="s">
        <v>395</v>
      </c>
      <c r="CF104" s="5" t="s">
        <v>395</v>
      </c>
      <c r="CG104" s="5" t="s">
        <v>395</v>
      </c>
      <c r="CH104" s="5" t="s">
        <v>395</v>
      </c>
      <c r="CI104" s="5" t="s">
        <v>395</v>
      </c>
      <c r="CJ104" s="5" t="s">
        <v>395</v>
      </c>
      <c r="CK104" s="5" t="s">
        <v>395</v>
      </c>
      <c r="CL104" s="5" t="s">
        <v>395</v>
      </c>
      <c r="CM104" s="5" t="s">
        <v>395</v>
      </c>
      <c r="CN104" s="5" t="s">
        <v>395</v>
      </c>
      <c r="CO104" s="5" t="s">
        <v>395</v>
      </c>
      <c r="CP104" s="5" t="s">
        <v>395</v>
      </c>
      <c r="CQ104" s="5" t="s">
        <v>395</v>
      </c>
      <c r="CR104" s="5" t="s">
        <v>395</v>
      </c>
      <c r="CS104" s="5" t="s">
        <v>395</v>
      </c>
      <c r="CT104" s="5" t="s">
        <v>395</v>
      </c>
      <c r="CU104" s="5" t="s">
        <v>395</v>
      </c>
      <c r="CV104" s="5" t="s">
        <v>395</v>
      </c>
      <c r="CW104" s="5" t="s">
        <v>395</v>
      </c>
      <c r="CX104" s="5" t="s">
        <v>395</v>
      </c>
      <c r="CY104" s="252" t="s">
        <v>395</v>
      </c>
    </row>
    <row r="105" spans="1:103" x14ac:dyDescent="0.3">
      <c r="A105" s="98" t="s">
        <v>25</v>
      </c>
      <c r="B105" s="98" t="s">
        <v>25</v>
      </c>
      <c r="C105" s="132" t="s">
        <v>20</v>
      </c>
      <c r="D105" s="132"/>
      <c r="E105" s="98"/>
      <c r="F105" s="98"/>
      <c r="G105" s="245">
        <v>43689</v>
      </c>
      <c r="H105" s="1">
        <v>2019</v>
      </c>
      <c r="I105" s="75" t="s">
        <v>33</v>
      </c>
      <c r="J105" s="75">
        <v>10</v>
      </c>
      <c r="K105" s="155">
        <v>0.50511247443761298</v>
      </c>
      <c r="L105" s="5" t="s">
        <v>395</v>
      </c>
      <c r="M105" s="5">
        <v>3.566775244299674E-2</v>
      </c>
      <c r="N105" s="5">
        <v>0.19841205211726384</v>
      </c>
      <c r="O105" s="5">
        <v>0.39800488599348538</v>
      </c>
      <c r="P105" s="5">
        <v>0.15790920195439739</v>
      </c>
      <c r="Q105" s="5">
        <v>1.2810769543973941</v>
      </c>
      <c r="R105" s="5">
        <v>0.598941368078176</v>
      </c>
      <c r="S105" s="5">
        <v>0.48549470684039087</v>
      </c>
      <c r="T105" s="5">
        <v>3.1555069218241041</v>
      </c>
      <c r="U105" s="5">
        <f t="shared" si="10"/>
        <v>29.672576619763756</v>
      </c>
      <c r="V105" s="5" t="s">
        <v>60</v>
      </c>
      <c r="W105" s="5">
        <v>7.3744422439835769E-2</v>
      </c>
      <c r="X105" s="5" t="s">
        <v>60</v>
      </c>
      <c r="Y105" s="5">
        <v>3.6014941627662521E-2</v>
      </c>
      <c r="Z105" s="5" t="s">
        <v>72</v>
      </c>
      <c r="AA105" s="5" t="s">
        <v>56</v>
      </c>
      <c r="AB105" s="5">
        <v>1.3835271693699887E-2</v>
      </c>
      <c r="AC105" s="5" t="s">
        <v>65</v>
      </c>
      <c r="AD105" s="5">
        <v>0.12359463576119817</v>
      </c>
      <c r="AE105" s="5">
        <f t="shared" si="15"/>
        <v>0.12359463576119817</v>
      </c>
      <c r="AF105" s="5" t="s">
        <v>72</v>
      </c>
      <c r="AG105" s="250" t="s">
        <v>395</v>
      </c>
      <c r="AH105" s="250">
        <v>72.154009048031583</v>
      </c>
      <c r="AI105" s="5" t="s">
        <v>69</v>
      </c>
      <c r="AJ105" s="5" t="s">
        <v>65</v>
      </c>
      <c r="AK105" s="5" t="s">
        <v>69</v>
      </c>
      <c r="AL105" s="5" t="s">
        <v>69</v>
      </c>
      <c r="AM105" s="5" t="s">
        <v>126</v>
      </c>
      <c r="AN105" s="5">
        <v>3.5285398017133511</v>
      </c>
      <c r="AO105" s="5">
        <v>0.98348252959861404</v>
      </c>
      <c r="AP105" s="5" t="s">
        <v>69</v>
      </c>
      <c r="AQ105" s="5">
        <v>0.88077132864889141</v>
      </c>
      <c r="AR105" s="5" t="s">
        <v>65</v>
      </c>
      <c r="AS105" s="5" t="s">
        <v>395</v>
      </c>
      <c r="AT105" s="5" t="s">
        <v>395</v>
      </c>
      <c r="AU105" s="5" t="s">
        <v>395</v>
      </c>
      <c r="AV105" s="5" t="s">
        <v>395</v>
      </c>
      <c r="AW105" s="5" t="s">
        <v>395</v>
      </c>
      <c r="AX105" s="5" t="s">
        <v>395</v>
      </c>
      <c r="AY105" s="5" t="s">
        <v>395</v>
      </c>
      <c r="AZ105" s="5" t="s">
        <v>395</v>
      </c>
      <c r="BA105" s="5" t="s">
        <v>395</v>
      </c>
      <c r="BB105" s="5" t="s">
        <v>395</v>
      </c>
      <c r="BC105" s="5" t="s">
        <v>395</v>
      </c>
      <c r="BD105" s="5" t="s">
        <v>395</v>
      </c>
      <c r="BE105" s="5" t="s">
        <v>395</v>
      </c>
      <c r="BF105" s="5" t="s">
        <v>395</v>
      </c>
      <c r="BG105" s="5" t="s">
        <v>395</v>
      </c>
      <c r="BH105" s="5" t="s">
        <v>395</v>
      </c>
      <c r="BI105" s="5" t="s">
        <v>395</v>
      </c>
      <c r="BJ105" s="5" t="s">
        <v>395</v>
      </c>
      <c r="BK105" s="5" t="s">
        <v>395</v>
      </c>
      <c r="BL105" s="5" t="s">
        <v>395</v>
      </c>
      <c r="BM105" s="5" t="s">
        <v>395</v>
      </c>
      <c r="BN105" s="5">
        <v>120</v>
      </c>
      <c r="BO105" s="5" t="s">
        <v>395</v>
      </c>
      <c r="BP105" s="5" t="s">
        <v>395</v>
      </c>
      <c r="BQ105" s="5" t="s">
        <v>395</v>
      </c>
      <c r="BR105" s="5" t="s">
        <v>395</v>
      </c>
      <c r="BS105" s="5" t="s">
        <v>395</v>
      </c>
      <c r="BT105" s="5" t="s">
        <v>395</v>
      </c>
      <c r="BU105" s="5" t="s">
        <v>395</v>
      </c>
      <c r="BV105" s="5" t="s">
        <v>395</v>
      </c>
      <c r="BW105" s="5" t="s">
        <v>395</v>
      </c>
      <c r="BX105" s="5" t="s">
        <v>395</v>
      </c>
      <c r="BY105" s="5" t="s">
        <v>395</v>
      </c>
      <c r="BZ105" s="5" t="s">
        <v>395</v>
      </c>
      <c r="CA105" s="5" t="s">
        <v>395</v>
      </c>
      <c r="CB105" s="5" t="s">
        <v>395</v>
      </c>
      <c r="CC105" s="5" t="s">
        <v>395</v>
      </c>
      <c r="CD105" s="5" t="s">
        <v>395</v>
      </c>
      <c r="CE105" s="5" t="s">
        <v>395</v>
      </c>
      <c r="CF105" s="5" t="s">
        <v>395</v>
      </c>
      <c r="CG105" s="5" t="s">
        <v>395</v>
      </c>
      <c r="CH105" s="5" t="s">
        <v>395</v>
      </c>
      <c r="CI105" s="5" t="s">
        <v>395</v>
      </c>
      <c r="CJ105" s="5" t="s">
        <v>395</v>
      </c>
      <c r="CK105" s="5" t="s">
        <v>395</v>
      </c>
      <c r="CL105" s="5" t="s">
        <v>395</v>
      </c>
      <c r="CM105" s="5" t="s">
        <v>395</v>
      </c>
      <c r="CN105" s="5" t="s">
        <v>395</v>
      </c>
      <c r="CO105" s="5" t="s">
        <v>395</v>
      </c>
      <c r="CP105" s="5" t="s">
        <v>395</v>
      </c>
      <c r="CQ105" s="5" t="s">
        <v>395</v>
      </c>
      <c r="CR105" s="5" t="s">
        <v>395</v>
      </c>
      <c r="CS105" s="5" t="s">
        <v>395</v>
      </c>
      <c r="CT105" s="5" t="s">
        <v>395</v>
      </c>
      <c r="CU105" s="5" t="s">
        <v>395</v>
      </c>
      <c r="CV105" s="5" t="s">
        <v>395</v>
      </c>
      <c r="CW105" s="5" t="s">
        <v>395</v>
      </c>
      <c r="CX105" s="5" t="s">
        <v>395</v>
      </c>
      <c r="CY105" s="252" t="s">
        <v>395</v>
      </c>
    </row>
    <row r="106" spans="1:103" x14ac:dyDescent="0.3">
      <c r="A106" s="98" t="s">
        <v>5</v>
      </c>
      <c r="B106" s="98" t="s">
        <v>5</v>
      </c>
      <c r="C106" s="132" t="s">
        <v>20</v>
      </c>
      <c r="D106" s="132"/>
      <c r="E106" s="98"/>
      <c r="F106" s="98"/>
      <c r="G106" s="245">
        <v>43679</v>
      </c>
      <c r="H106" s="1">
        <v>2019</v>
      </c>
      <c r="I106" s="75" t="s">
        <v>33</v>
      </c>
      <c r="J106" s="75">
        <v>10</v>
      </c>
      <c r="K106" s="155">
        <v>0.45077533357372096</v>
      </c>
      <c r="L106" s="5" t="s">
        <v>395</v>
      </c>
      <c r="M106" s="5">
        <v>0.62387479541734869</v>
      </c>
      <c r="N106" s="5">
        <v>1.460464402618658</v>
      </c>
      <c r="O106" s="5">
        <v>4.8424713584288055</v>
      </c>
      <c r="P106" s="5">
        <v>4.4062909165302777</v>
      </c>
      <c r="Q106" s="5">
        <v>7.4108428805237327</v>
      </c>
      <c r="R106" s="5">
        <v>7.3866612111292964</v>
      </c>
      <c r="S106" s="5">
        <v>2.0762888707037641</v>
      </c>
      <c r="T106" s="5">
        <v>28.206894435351881</v>
      </c>
      <c r="U106" s="5">
        <f t="shared" si="10"/>
        <v>263.99629423078437</v>
      </c>
      <c r="V106" s="5" t="s">
        <v>60</v>
      </c>
      <c r="W106" s="5">
        <v>0.15482420007269895</v>
      </c>
      <c r="X106" s="5">
        <v>5.8237615584640981E-2</v>
      </c>
      <c r="Y106" s="5">
        <v>0.14996252521865158</v>
      </c>
      <c r="Z106" s="5" t="s">
        <v>72</v>
      </c>
      <c r="AA106" s="5" t="s">
        <v>56</v>
      </c>
      <c r="AB106" s="5">
        <v>3.4858472450930454E-2</v>
      </c>
      <c r="AC106" s="5" t="s">
        <v>65</v>
      </c>
      <c r="AD106" s="5">
        <v>0.39788281332692199</v>
      </c>
      <c r="AE106" s="5">
        <f t="shared" si="15"/>
        <v>0.39788281332692194</v>
      </c>
      <c r="AF106" s="5" t="s">
        <v>72</v>
      </c>
      <c r="AG106" s="250" t="s">
        <v>395</v>
      </c>
      <c r="AH106" s="250">
        <v>15.728358208955221</v>
      </c>
      <c r="AI106" s="5" t="s">
        <v>69</v>
      </c>
      <c r="AJ106" s="5" t="s">
        <v>65</v>
      </c>
      <c r="AK106" s="5" t="s">
        <v>69</v>
      </c>
      <c r="AL106" s="5" t="s">
        <v>69</v>
      </c>
      <c r="AM106" s="5" t="s">
        <v>126</v>
      </c>
      <c r="AN106" s="5">
        <v>0.77686567164179099</v>
      </c>
      <c r="AO106" s="5" t="s">
        <v>126</v>
      </c>
      <c r="AP106" s="5" t="s">
        <v>69</v>
      </c>
      <c r="AQ106" s="5">
        <v>0.45338930348258705</v>
      </c>
      <c r="AR106" s="5" t="s">
        <v>65</v>
      </c>
      <c r="AS106" s="5" t="s">
        <v>395</v>
      </c>
      <c r="AT106" s="5" t="s">
        <v>395</v>
      </c>
      <c r="AU106" s="5" t="s">
        <v>395</v>
      </c>
      <c r="AV106" s="5" t="s">
        <v>395</v>
      </c>
      <c r="AW106" s="5" t="s">
        <v>395</v>
      </c>
      <c r="AX106" s="5" t="s">
        <v>395</v>
      </c>
      <c r="AY106" s="5" t="s">
        <v>395</v>
      </c>
      <c r="AZ106" s="5" t="s">
        <v>395</v>
      </c>
      <c r="BA106" s="5" t="s">
        <v>395</v>
      </c>
      <c r="BB106" s="5" t="s">
        <v>395</v>
      </c>
      <c r="BC106" s="5" t="s">
        <v>395</v>
      </c>
      <c r="BD106" s="5" t="s">
        <v>395</v>
      </c>
      <c r="BE106" s="5" t="s">
        <v>395</v>
      </c>
      <c r="BF106" s="5" t="s">
        <v>395</v>
      </c>
      <c r="BG106" s="5" t="s">
        <v>395</v>
      </c>
      <c r="BH106" s="5" t="s">
        <v>395</v>
      </c>
      <c r="BI106" s="5" t="s">
        <v>395</v>
      </c>
      <c r="BJ106" s="5" t="s">
        <v>395</v>
      </c>
      <c r="BK106" s="5" t="s">
        <v>395</v>
      </c>
      <c r="BL106" s="5" t="s">
        <v>395</v>
      </c>
      <c r="BM106" s="5" t="s">
        <v>395</v>
      </c>
      <c r="BN106" s="5">
        <v>100</v>
      </c>
      <c r="BO106" s="5" t="s">
        <v>395</v>
      </c>
      <c r="BP106" s="5" t="s">
        <v>395</v>
      </c>
      <c r="BQ106" s="5" t="s">
        <v>395</v>
      </c>
      <c r="BR106" s="5" t="s">
        <v>395</v>
      </c>
      <c r="BS106" s="5" t="s">
        <v>395</v>
      </c>
      <c r="BT106" s="5" t="s">
        <v>395</v>
      </c>
      <c r="BU106" s="5" t="s">
        <v>395</v>
      </c>
      <c r="BV106" s="5" t="s">
        <v>395</v>
      </c>
      <c r="BW106" s="5" t="s">
        <v>395</v>
      </c>
      <c r="BX106" s="5" t="s">
        <v>395</v>
      </c>
      <c r="BY106" s="5" t="s">
        <v>395</v>
      </c>
      <c r="BZ106" s="5" t="s">
        <v>395</v>
      </c>
      <c r="CA106" s="5" t="s">
        <v>395</v>
      </c>
      <c r="CB106" s="5" t="s">
        <v>395</v>
      </c>
      <c r="CC106" s="5" t="s">
        <v>395</v>
      </c>
      <c r="CD106" s="5" t="s">
        <v>395</v>
      </c>
      <c r="CE106" s="5" t="s">
        <v>395</v>
      </c>
      <c r="CF106" s="5" t="s">
        <v>395</v>
      </c>
      <c r="CG106" s="5" t="s">
        <v>395</v>
      </c>
      <c r="CH106" s="5" t="s">
        <v>395</v>
      </c>
      <c r="CI106" s="5" t="s">
        <v>395</v>
      </c>
      <c r="CJ106" s="5" t="s">
        <v>395</v>
      </c>
      <c r="CK106" s="5" t="s">
        <v>395</v>
      </c>
      <c r="CL106" s="5" t="s">
        <v>395</v>
      </c>
      <c r="CM106" s="5" t="s">
        <v>395</v>
      </c>
      <c r="CN106" s="5" t="s">
        <v>395</v>
      </c>
      <c r="CO106" s="5" t="s">
        <v>395</v>
      </c>
      <c r="CP106" s="5" t="s">
        <v>395</v>
      </c>
      <c r="CQ106" s="5" t="s">
        <v>395</v>
      </c>
      <c r="CR106" s="5" t="s">
        <v>395</v>
      </c>
      <c r="CS106" s="5" t="s">
        <v>395</v>
      </c>
      <c r="CT106" s="5" t="s">
        <v>395</v>
      </c>
      <c r="CU106" s="5" t="s">
        <v>395</v>
      </c>
      <c r="CV106" s="5" t="s">
        <v>395</v>
      </c>
      <c r="CW106" s="5" t="s">
        <v>395</v>
      </c>
      <c r="CX106" s="5" t="s">
        <v>395</v>
      </c>
      <c r="CY106" s="252" t="s">
        <v>395</v>
      </c>
    </row>
    <row r="107" spans="1:103" x14ac:dyDescent="0.3">
      <c r="A107" s="98" t="s">
        <v>23</v>
      </c>
      <c r="B107" s="98" t="s">
        <v>23</v>
      </c>
      <c r="C107" s="132" t="s">
        <v>20</v>
      </c>
      <c r="D107" s="132"/>
      <c r="E107" s="98"/>
      <c r="F107" s="98"/>
      <c r="G107" s="245">
        <v>43678</v>
      </c>
      <c r="H107" s="1">
        <v>2019</v>
      </c>
      <c r="I107" s="75" t="s">
        <v>33</v>
      </c>
      <c r="J107" s="75">
        <v>10</v>
      </c>
      <c r="K107" s="155">
        <v>0.46467104082329602</v>
      </c>
      <c r="L107" s="5" t="s">
        <v>395</v>
      </c>
      <c r="M107" s="5">
        <v>0.31191842590694818</v>
      </c>
      <c r="N107" s="5">
        <v>1.9880610780897727</v>
      </c>
      <c r="O107" s="5">
        <v>8.9203217872514866</v>
      </c>
      <c r="P107" s="5">
        <v>7.0067021930723508</v>
      </c>
      <c r="Q107" s="5">
        <v>14.893195326911254</v>
      </c>
      <c r="R107" s="5">
        <v>13.510043041606886</v>
      </c>
      <c r="S107" s="5">
        <v>4.9397417503586807</v>
      </c>
      <c r="T107" s="5">
        <v>51.569983603197379</v>
      </c>
      <c r="U107" s="5">
        <f t="shared" si="10"/>
        <v>479.51429608318801</v>
      </c>
      <c r="V107" s="5" t="s">
        <v>60</v>
      </c>
      <c r="W107" s="5">
        <v>0.15767696190726829</v>
      </c>
      <c r="X107" s="5">
        <v>2.1890892758594325E-2</v>
      </c>
      <c r="Y107" s="5">
        <v>4.8405398615509541E-2</v>
      </c>
      <c r="Z107" s="5" t="s">
        <v>72</v>
      </c>
      <c r="AA107" s="5">
        <v>2.0825950649652775E-2</v>
      </c>
      <c r="AB107" s="5">
        <v>3.2412519504941152E-2</v>
      </c>
      <c r="AC107" s="5" t="s">
        <v>65</v>
      </c>
      <c r="AD107" s="5">
        <v>0.28121172343596612</v>
      </c>
      <c r="AE107" s="5">
        <f t="shared" si="15"/>
        <v>0.28121172343596607</v>
      </c>
      <c r="AF107" s="5" t="s">
        <v>72</v>
      </c>
      <c r="AG107" s="250" t="s">
        <v>395</v>
      </c>
      <c r="AH107" s="250">
        <v>6.9633767846058339</v>
      </c>
      <c r="AI107" s="5" t="s">
        <v>69</v>
      </c>
      <c r="AJ107" s="5" t="s">
        <v>65</v>
      </c>
      <c r="AK107" s="5" t="s">
        <v>69</v>
      </c>
      <c r="AL107" s="5" t="s">
        <v>69</v>
      </c>
      <c r="AM107" s="5" t="s">
        <v>126</v>
      </c>
      <c r="AN107" s="5">
        <v>0.48396441133871304</v>
      </c>
      <c r="AO107" s="5" t="s">
        <v>126</v>
      </c>
      <c r="AP107" s="5" t="s">
        <v>69</v>
      </c>
      <c r="AQ107" s="5">
        <v>0.34143734050624175</v>
      </c>
      <c r="AR107" s="5" t="s">
        <v>65</v>
      </c>
      <c r="AS107" s="5" t="s">
        <v>395</v>
      </c>
      <c r="AT107" s="5" t="s">
        <v>395</v>
      </c>
      <c r="AU107" s="5" t="s">
        <v>395</v>
      </c>
      <c r="AV107" s="5" t="s">
        <v>395</v>
      </c>
      <c r="AW107" s="5" t="s">
        <v>395</v>
      </c>
      <c r="AX107" s="5" t="s">
        <v>395</v>
      </c>
      <c r="AY107" s="5" t="s">
        <v>395</v>
      </c>
      <c r="AZ107" s="5" t="s">
        <v>395</v>
      </c>
      <c r="BA107" s="5" t="s">
        <v>395</v>
      </c>
      <c r="BB107" s="5" t="s">
        <v>395</v>
      </c>
      <c r="BC107" s="5" t="s">
        <v>395</v>
      </c>
      <c r="BD107" s="5" t="s">
        <v>395</v>
      </c>
      <c r="BE107" s="5" t="s">
        <v>395</v>
      </c>
      <c r="BF107" s="5" t="s">
        <v>395</v>
      </c>
      <c r="BG107" s="5" t="s">
        <v>395</v>
      </c>
      <c r="BH107" s="5" t="s">
        <v>395</v>
      </c>
      <c r="BI107" s="5" t="s">
        <v>395</v>
      </c>
      <c r="BJ107" s="5" t="s">
        <v>395</v>
      </c>
      <c r="BK107" s="5" t="s">
        <v>395</v>
      </c>
      <c r="BL107" s="5" t="s">
        <v>395</v>
      </c>
      <c r="BM107" s="5" t="s">
        <v>395</v>
      </c>
      <c r="BN107" s="5">
        <v>300</v>
      </c>
      <c r="BO107" s="5" t="s">
        <v>395</v>
      </c>
      <c r="BP107" s="5" t="s">
        <v>395</v>
      </c>
      <c r="BQ107" s="5" t="s">
        <v>395</v>
      </c>
      <c r="BR107" s="5" t="s">
        <v>395</v>
      </c>
      <c r="BS107" s="5" t="s">
        <v>395</v>
      </c>
      <c r="BT107" s="5" t="s">
        <v>395</v>
      </c>
      <c r="BU107" s="5" t="s">
        <v>395</v>
      </c>
      <c r="BV107" s="5" t="s">
        <v>395</v>
      </c>
      <c r="BW107" s="5" t="s">
        <v>395</v>
      </c>
      <c r="BX107" s="5" t="s">
        <v>395</v>
      </c>
      <c r="BY107" s="5" t="s">
        <v>395</v>
      </c>
      <c r="BZ107" s="5" t="s">
        <v>395</v>
      </c>
      <c r="CA107" s="5" t="s">
        <v>395</v>
      </c>
      <c r="CB107" s="5" t="s">
        <v>395</v>
      </c>
      <c r="CC107" s="5" t="s">
        <v>395</v>
      </c>
      <c r="CD107" s="5" t="s">
        <v>395</v>
      </c>
      <c r="CE107" s="5" t="s">
        <v>395</v>
      </c>
      <c r="CF107" s="5" t="s">
        <v>395</v>
      </c>
      <c r="CG107" s="5" t="s">
        <v>395</v>
      </c>
      <c r="CH107" s="5" t="s">
        <v>395</v>
      </c>
      <c r="CI107" s="5" t="s">
        <v>395</v>
      </c>
      <c r="CJ107" s="5" t="s">
        <v>395</v>
      </c>
      <c r="CK107" s="5" t="s">
        <v>395</v>
      </c>
      <c r="CL107" s="5" t="s">
        <v>395</v>
      </c>
      <c r="CM107" s="5" t="s">
        <v>395</v>
      </c>
      <c r="CN107" s="5" t="s">
        <v>395</v>
      </c>
      <c r="CO107" s="5" t="s">
        <v>395</v>
      </c>
      <c r="CP107" s="5" t="s">
        <v>395</v>
      </c>
      <c r="CQ107" s="5" t="s">
        <v>395</v>
      </c>
      <c r="CR107" s="5" t="s">
        <v>395</v>
      </c>
      <c r="CS107" s="5" t="s">
        <v>395</v>
      </c>
      <c r="CT107" s="5" t="s">
        <v>395</v>
      </c>
      <c r="CU107" s="5" t="s">
        <v>395</v>
      </c>
      <c r="CV107" s="5" t="s">
        <v>395</v>
      </c>
      <c r="CW107" s="5" t="s">
        <v>395</v>
      </c>
      <c r="CX107" s="5" t="s">
        <v>395</v>
      </c>
      <c r="CY107" s="252" t="s">
        <v>395</v>
      </c>
    </row>
    <row r="108" spans="1:103" x14ac:dyDescent="0.3">
      <c r="A108" s="98" t="s">
        <v>6</v>
      </c>
      <c r="B108" s="98" t="s">
        <v>6</v>
      </c>
      <c r="C108" s="132" t="s">
        <v>20</v>
      </c>
      <c r="D108" s="132"/>
      <c r="E108" s="98"/>
      <c r="F108" s="98"/>
      <c r="G108" s="245">
        <v>43686</v>
      </c>
      <c r="H108" s="1">
        <v>2019</v>
      </c>
      <c r="I108" s="75" t="s">
        <v>33</v>
      </c>
      <c r="J108" s="75">
        <v>10</v>
      </c>
      <c r="K108" s="155">
        <v>0.36286225748701401</v>
      </c>
      <c r="L108" s="5" t="s">
        <v>395</v>
      </c>
      <c r="M108" s="5">
        <v>5.2229475039073277E-2</v>
      </c>
      <c r="N108" s="5">
        <v>0.25123655419692925</v>
      </c>
      <c r="O108" s="5">
        <v>1.1696331709110968</v>
      </c>
      <c r="P108" s="5">
        <v>0.86850234439643281</v>
      </c>
      <c r="Q108" s="5">
        <v>2.5151696239771995</v>
      </c>
      <c r="R108" s="5">
        <v>2.1407557230854093</v>
      </c>
      <c r="S108" s="5">
        <v>0.84689712236830006</v>
      </c>
      <c r="T108" s="5">
        <v>7.8444240139744403</v>
      </c>
      <c r="U108" s="5">
        <f t="shared" si="10"/>
        <v>96.123549992350192</v>
      </c>
      <c r="V108" s="5" t="s">
        <v>60</v>
      </c>
      <c r="W108" s="5">
        <v>8.4790038995946462E-2</v>
      </c>
      <c r="X108" s="5">
        <v>2.3180954800777261E-2</v>
      </c>
      <c r="Y108" s="5">
        <v>6.2134026043462673E-2</v>
      </c>
      <c r="Z108" s="5" t="s">
        <v>72</v>
      </c>
      <c r="AA108" s="5" t="s">
        <v>56</v>
      </c>
      <c r="AB108" s="5" t="s">
        <v>60</v>
      </c>
      <c r="AC108" s="5" t="s">
        <v>65</v>
      </c>
      <c r="AD108" s="5">
        <v>0.17010501984018639</v>
      </c>
      <c r="AE108" s="5">
        <f t="shared" si="15"/>
        <v>0.17010501984018639</v>
      </c>
      <c r="AF108" s="5">
        <v>1.5077686862186265E-2</v>
      </c>
      <c r="AG108" s="250">
        <f>AF108*(5/K108)</f>
        <v>0.20776047316971041</v>
      </c>
      <c r="AH108" s="250">
        <v>9.2348142868456495</v>
      </c>
      <c r="AI108" s="5" t="s">
        <v>69</v>
      </c>
      <c r="AJ108" s="5" t="s">
        <v>65</v>
      </c>
      <c r="AK108" s="5" t="s">
        <v>69</v>
      </c>
      <c r="AL108" s="5" t="s">
        <v>69</v>
      </c>
      <c r="AM108" s="5" t="s">
        <v>126</v>
      </c>
      <c r="AN108" s="5">
        <v>0.85198384414350192</v>
      </c>
      <c r="AO108" s="5" t="s">
        <v>126</v>
      </c>
      <c r="AP108" s="5" t="s">
        <v>69</v>
      </c>
      <c r="AQ108" s="5">
        <v>0.3896676434096249</v>
      </c>
      <c r="AR108" s="5" t="s">
        <v>65</v>
      </c>
      <c r="AS108" s="5" t="s">
        <v>395</v>
      </c>
      <c r="AT108" s="5" t="s">
        <v>395</v>
      </c>
      <c r="AU108" s="5" t="s">
        <v>395</v>
      </c>
      <c r="AV108" s="5" t="s">
        <v>395</v>
      </c>
      <c r="AW108" s="5" t="s">
        <v>395</v>
      </c>
      <c r="AX108" s="5" t="s">
        <v>395</v>
      </c>
      <c r="AY108" s="5" t="s">
        <v>395</v>
      </c>
      <c r="AZ108" s="5" t="s">
        <v>395</v>
      </c>
      <c r="BA108" s="5" t="s">
        <v>395</v>
      </c>
      <c r="BB108" s="5" t="s">
        <v>395</v>
      </c>
      <c r="BC108" s="5" t="s">
        <v>395</v>
      </c>
      <c r="BD108" s="5" t="s">
        <v>395</v>
      </c>
      <c r="BE108" s="5" t="s">
        <v>395</v>
      </c>
      <c r="BF108" s="5" t="s">
        <v>395</v>
      </c>
      <c r="BG108" s="5" t="s">
        <v>395</v>
      </c>
      <c r="BH108" s="5" t="s">
        <v>395</v>
      </c>
      <c r="BI108" s="5" t="s">
        <v>395</v>
      </c>
      <c r="BJ108" s="5" t="s">
        <v>395</v>
      </c>
      <c r="BK108" s="5" t="s">
        <v>395</v>
      </c>
      <c r="BL108" s="5" t="s">
        <v>395</v>
      </c>
      <c r="BM108" s="5" t="s">
        <v>395</v>
      </c>
      <c r="BN108" s="5">
        <v>42</v>
      </c>
      <c r="BO108" s="5" t="s">
        <v>395</v>
      </c>
      <c r="BP108" s="5" t="s">
        <v>395</v>
      </c>
      <c r="BQ108" s="5" t="s">
        <v>395</v>
      </c>
      <c r="BR108" s="5" t="s">
        <v>395</v>
      </c>
      <c r="BS108" s="5" t="s">
        <v>395</v>
      </c>
      <c r="BT108" s="5" t="s">
        <v>395</v>
      </c>
      <c r="BU108" s="5" t="s">
        <v>395</v>
      </c>
      <c r="BV108" s="5" t="s">
        <v>395</v>
      </c>
      <c r="BW108" s="5" t="s">
        <v>395</v>
      </c>
      <c r="BX108" s="5" t="s">
        <v>395</v>
      </c>
      <c r="BY108" s="5" t="s">
        <v>395</v>
      </c>
      <c r="BZ108" s="5" t="s">
        <v>395</v>
      </c>
      <c r="CA108" s="5" t="s">
        <v>395</v>
      </c>
      <c r="CB108" s="5" t="s">
        <v>395</v>
      </c>
      <c r="CC108" s="5" t="s">
        <v>395</v>
      </c>
      <c r="CD108" s="5" t="s">
        <v>395</v>
      </c>
      <c r="CE108" s="5" t="s">
        <v>395</v>
      </c>
      <c r="CF108" s="5" t="s">
        <v>395</v>
      </c>
      <c r="CG108" s="5" t="s">
        <v>395</v>
      </c>
      <c r="CH108" s="5" t="s">
        <v>395</v>
      </c>
      <c r="CI108" s="5" t="s">
        <v>395</v>
      </c>
      <c r="CJ108" s="5" t="s">
        <v>395</v>
      </c>
      <c r="CK108" s="5" t="s">
        <v>395</v>
      </c>
      <c r="CL108" s="5" t="s">
        <v>395</v>
      </c>
      <c r="CM108" s="5" t="s">
        <v>395</v>
      </c>
      <c r="CN108" s="5" t="s">
        <v>395</v>
      </c>
      <c r="CO108" s="5" t="s">
        <v>395</v>
      </c>
      <c r="CP108" s="5" t="s">
        <v>395</v>
      </c>
      <c r="CQ108" s="5" t="s">
        <v>395</v>
      </c>
      <c r="CR108" s="5" t="s">
        <v>395</v>
      </c>
      <c r="CS108" s="5" t="s">
        <v>395</v>
      </c>
      <c r="CT108" s="5" t="s">
        <v>395</v>
      </c>
      <c r="CU108" s="5" t="s">
        <v>395</v>
      </c>
      <c r="CV108" s="5" t="s">
        <v>395</v>
      </c>
      <c r="CW108" s="5" t="s">
        <v>395</v>
      </c>
      <c r="CX108" s="5" t="s">
        <v>395</v>
      </c>
      <c r="CY108" s="252" t="s">
        <v>395</v>
      </c>
    </row>
    <row r="109" spans="1:103" x14ac:dyDescent="0.3">
      <c r="A109" s="98" t="s">
        <v>81</v>
      </c>
      <c r="B109" s="98" t="s">
        <v>81</v>
      </c>
      <c r="C109" s="132" t="s">
        <v>20</v>
      </c>
      <c r="D109" s="132"/>
      <c r="E109" s="98"/>
      <c r="F109" s="98"/>
      <c r="G109" s="245">
        <v>43692</v>
      </c>
      <c r="H109" s="1">
        <v>2019</v>
      </c>
      <c r="I109" s="75" t="s">
        <v>33</v>
      </c>
      <c r="J109" s="75">
        <v>10</v>
      </c>
      <c r="K109" s="155">
        <v>0.48309178743959896</v>
      </c>
      <c r="L109" s="5" t="s">
        <v>395</v>
      </c>
      <c r="M109" s="5">
        <v>3.4749022432137462E-2</v>
      </c>
      <c r="N109" s="5">
        <v>9.8759325314898644E-2</v>
      </c>
      <c r="O109" s="5">
        <v>0.28674506619572965</v>
      </c>
      <c r="P109" s="5">
        <v>0.22383029048924669</v>
      </c>
      <c r="Q109" s="5">
        <v>0.55442585086243878</v>
      </c>
      <c r="R109" s="5">
        <v>0.53012666363741601</v>
      </c>
      <c r="S109" s="5">
        <v>0.23471806766413206</v>
      </c>
      <c r="T109" s="5">
        <v>1.9633542865959994</v>
      </c>
      <c r="U109" s="5">
        <f t="shared" si="10"/>
        <v>18.004073359705433</v>
      </c>
      <c r="V109" s="5" t="s">
        <v>60</v>
      </c>
      <c r="W109" s="5">
        <v>4.8472958549214989E-2</v>
      </c>
      <c r="X109" s="5">
        <v>1.4226669877088073E-2</v>
      </c>
      <c r="Y109" s="5">
        <v>5.1943418290425321E-2</v>
      </c>
      <c r="Z109" s="5">
        <v>1.7209770388279467E-2</v>
      </c>
      <c r="AA109" s="5" t="s">
        <v>56</v>
      </c>
      <c r="AB109" s="5" t="s">
        <v>60</v>
      </c>
      <c r="AC109" s="5" t="s">
        <v>65</v>
      </c>
      <c r="AD109" s="5">
        <v>0.13185281710500785</v>
      </c>
      <c r="AE109" s="5">
        <f t="shared" si="15"/>
        <v>0.11464304671672837</v>
      </c>
      <c r="AF109" s="5" t="s">
        <v>72</v>
      </c>
      <c r="AG109" s="250" t="s">
        <v>395</v>
      </c>
      <c r="AH109" s="250">
        <v>8.5221736414740796</v>
      </c>
      <c r="AI109" s="5" t="s">
        <v>69</v>
      </c>
      <c r="AJ109" s="5" t="s">
        <v>65</v>
      </c>
      <c r="AK109" s="5" t="s">
        <v>69</v>
      </c>
      <c r="AL109" s="5" t="s">
        <v>69</v>
      </c>
      <c r="AM109" s="5" t="s">
        <v>126</v>
      </c>
      <c r="AN109" s="5">
        <v>1.1651646292495761</v>
      </c>
      <c r="AO109" s="5">
        <v>1.6701525832069242</v>
      </c>
      <c r="AP109" s="5" t="s">
        <v>69</v>
      </c>
      <c r="AQ109" s="5">
        <v>1.2679872698610988</v>
      </c>
      <c r="AR109" s="5">
        <v>0.36716932869337615</v>
      </c>
      <c r="AS109" s="5" t="s">
        <v>395</v>
      </c>
      <c r="AT109" s="5" t="s">
        <v>395</v>
      </c>
      <c r="AU109" s="5" t="s">
        <v>395</v>
      </c>
      <c r="AV109" s="5" t="s">
        <v>395</v>
      </c>
      <c r="AW109" s="5" t="s">
        <v>395</v>
      </c>
      <c r="AX109" s="5" t="s">
        <v>395</v>
      </c>
      <c r="AY109" s="5" t="s">
        <v>395</v>
      </c>
      <c r="AZ109" s="5" t="s">
        <v>395</v>
      </c>
      <c r="BA109" s="5" t="s">
        <v>395</v>
      </c>
      <c r="BB109" s="5" t="s">
        <v>395</v>
      </c>
      <c r="BC109" s="5" t="s">
        <v>395</v>
      </c>
      <c r="BD109" s="5" t="s">
        <v>395</v>
      </c>
      <c r="BE109" s="5" t="s">
        <v>395</v>
      </c>
      <c r="BF109" s="5" t="s">
        <v>395</v>
      </c>
      <c r="BG109" s="5" t="s">
        <v>395</v>
      </c>
      <c r="BH109" s="5" t="s">
        <v>395</v>
      </c>
      <c r="BI109" s="5" t="s">
        <v>395</v>
      </c>
      <c r="BJ109" s="5" t="s">
        <v>395</v>
      </c>
      <c r="BK109" s="5" t="s">
        <v>395</v>
      </c>
      <c r="BL109" s="5" t="s">
        <v>395</v>
      </c>
      <c r="BM109" s="5" t="s">
        <v>395</v>
      </c>
      <c r="BN109" s="5">
        <v>16</v>
      </c>
      <c r="BO109" s="5" t="s">
        <v>395</v>
      </c>
      <c r="BP109" s="5" t="s">
        <v>395</v>
      </c>
      <c r="BQ109" s="5" t="s">
        <v>395</v>
      </c>
      <c r="BR109" s="5" t="s">
        <v>395</v>
      </c>
      <c r="BS109" s="5" t="s">
        <v>395</v>
      </c>
      <c r="BT109" s="5" t="s">
        <v>395</v>
      </c>
      <c r="BU109" s="5" t="s">
        <v>395</v>
      </c>
      <c r="BV109" s="5" t="s">
        <v>395</v>
      </c>
      <c r="BW109" s="5" t="s">
        <v>395</v>
      </c>
      <c r="BX109" s="5" t="s">
        <v>395</v>
      </c>
      <c r="BY109" s="5" t="s">
        <v>395</v>
      </c>
      <c r="BZ109" s="5" t="s">
        <v>395</v>
      </c>
      <c r="CA109" s="5" t="s">
        <v>395</v>
      </c>
      <c r="CB109" s="5" t="s">
        <v>395</v>
      </c>
      <c r="CC109" s="5" t="s">
        <v>395</v>
      </c>
      <c r="CD109" s="5" t="s">
        <v>395</v>
      </c>
      <c r="CE109" s="5" t="s">
        <v>395</v>
      </c>
      <c r="CF109" s="5" t="s">
        <v>395</v>
      </c>
      <c r="CG109" s="5" t="s">
        <v>395</v>
      </c>
      <c r="CH109" s="5" t="s">
        <v>395</v>
      </c>
      <c r="CI109" s="5" t="s">
        <v>395</v>
      </c>
      <c r="CJ109" s="5" t="s">
        <v>395</v>
      </c>
      <c r="CK109" s="5" t="s">
        <v>395</v>
      </c>
      <c r="CL109" s="5" t="s">
        <v>395</v>
      </c>
      <c r="CM109" s="5" t="s">
        <v>395</v>
      </c>
      <c r="CN109" s="5" t="s">
        <v>395</v>
      </c>
      <c r="CO109" s="5" t="s">
        <v>395</v>
      </c>
      <c r="CP109" s="5" t="s">
        <v>395</v>
      </c>
      <c r="CQ109" s="5" t="s">
        <v>395</v>
      </c>
      <c r="CR109" s="5" t="s">
        <v>395</v>
      </c>
      <c r="CS109" s="5" t="s">
        <v>395</v>
      </c>
      <c r="CT109" s="5" t="s">
        <v>395</v>
      </c>
      <c r="CU109" s="5" t="s">
        <v>395</v>
      </c>
      <c r="CV109" s="5" t="s">
        <v>395</v>
      </c>
      <c r="CW109" s="5" t="s">
        <v>395</v>
      </c>
      <c r="CX109" s="5" t="s">
        <v>395</v>
      </c>
      <c r="CY109" s="252" t="s">
        <v>395</v>
      </c>
    </row>
    <row r="110" spans="1:103" x14ac:dyDescent="0.3">
      <c r="A110" s="98" t="s">
        <v>26</v>
      </c>
      <c r="B110" s="98" t="s">
        <v>26</v>
      </c>
      <c r="C110" s="132" t="s">
        <v>20</v>
      </c>
      <c r="D110" s="132"/>
      <c r="E110" s="98"/>
      <c r="F110" s="98"/>
      <c r="G110" s="245">
        <v>43692</v>
      </c>
      <c r="H110" s="1">
        <v>2019</v>
      </c>
      <c r="I110" s="75" t="s">
        <v>33</v>
      </c>
      <c r="J110" s="75">
        <v>10</v>
      </c>
      <c r="K110" s="155">
        <v>0.39299937120102102</v>
      </c>
      <c r="L110" s="5" t="s">
        <v>395</v>
      </c>
      <c r="M110" s="5">
        <v>2.7408847836655328E-2</v>
      </c>
      <c r="N110" s="5">
        <v>2.8522119591638306E-2</v>
      </c>
      <c r="O110" s="5">
        <v>0.14955760816723385</v>
      </c>
      <c r="P110" s="5">
        <v>0.16347107438016528</v>
      </c>
      <c r="Q110" s="5">
        <v>0.41700534759358288</v>
      </c>
      <c r="R110" s="5">
        <v>0.40359747204666985</v>
      </c>
      <c r="S110" s="5">
        <v>0.15572192513368982</v>
      </c>
      <c r="T110" s="5">
        <v>1.3452843947496353</v>
      </c>
      <c r="U110" s="5">
        <f t="shared" si="10"/>
        <v>15.035816937286741</v>
      </c>
      <c r="V110" s="5" t="s">
        <v>60</v>
      </c>
      <c r="W110" s="5" t="s">
        <v>72</v>
      </c>
      <c r="X110" s="5" t="s">
        <v>60</v>
      </c>
      <c r="Y110" s="5" t="s">
        <v>62</v>
      </c>
      <c r="Z110" s="5">
        <v>1.8104621981435177E-2</v>
      </c>
      <c r="AA110" s="5" t="s">
        <v>56</v>
      </c>
      <c r="AB110" s="5" t="s">
        <v>60</v>
      </c>
      <c r="AC110" s="5" t="s">
        <v>65</v>
      </c>
      <c r="AD110" s="5">
        <v>1.8104621981435177E-2</v>
      </c>
      <c r="AE110" s="5">
        <f t="shared" si="15"/>
        <v>0</v>
      </c>
      <c r="AF110" s="5" t="s">
        <v>72</v>
      </c>
      <c r="AG110" s="250" t="s">
        <v>395</v>
      </c>
      <c r="AH110" s="250">
        <v>1.9319727891156462</v>
      </c>
      <c r="AI110" s="5" t="s">
        <v>69</v>
      </c>
      <c r="AJ110" s="5" t="s">
        <v>65</v>
      </c>
      <c r="AK110" s="5" t="s">
        <v>69</v>
      </c>
      <c r="AL110" s="5" t="s">
        <v>69</v>
      </c>
      <c r="AM110" s="5" t="s">
        <v>126</v>
      </c>
      <c r="AN110" s="5">
        <v>0.24526239067055391</v>
      </c>
      <c r="AO110" s="5" t="s">
        <v>126</v>
      </c>
      <c r="AP110" s="5" t="s">
        <v>69</v>
      </c>
      <c r="AQ110" s="5" t="s">
        <v>69</v>
      </c>
      <c r="AR110" s="5" t="s">
        <v>65</v>
      </c>
      <c r="AS110" s="5" t="s">
        <v>395</v>
      </c>
      <c r="AT110" s="5" t="s">
        <v>395</v>
      </c>
      <c r="AU110" s="5" t="s">
        <v>395</v>
      </c>
      <c r="AV110" s="5" t="s">
        <v>395</v>
      </c>
      <c r="AW110" s="5" t="s">
        <v>395</v>
      </c>
      <c r="AX110" s="5" t="s">
        <v>395</v>
      </c>
      <c r="AY110" s="5" t="s">
        <v>395</v>
      </c>
      <c r="AZ110" s="5" t="s">
        <v>395</v>
      </c>
      <c r="BA110" s="5" t="s">
        <v>395</v>
      </c>
      <c r="BB110" s="5" t="s">
        <v>395</v>
      </c>
      <c r="BC110" s="5" t="s">
        <v>395</v>
      </c>
      <c r="BD110" s="5" t="s">
        <v>395</v>
      </c>
      <c r="BE110" s="5" t="s">
        <v>395</v>
      </c>
      <c r="BF110" s="5" t="s">
        <v>395</v>
      </c>
      <c r="BG110" s="5" t="s">
        <v>395</v>
      </c>
      <c r="BH110" s="5" t="s">
        <v>395</v>
      </c>
      <c r="BI110" s="5" t="s">
        <v>395</v>
      </c>
      <c r="BJ110" s="5" t="s">
        <v>395</v>
      </c>
      <c r="BK110" s="5" t="s">
        <v>395</v>
      </c>
      <c r="BL110" s="5" t="s">
        <v>395</v>
      </c>
      <c r="BM110" s="5" t="s">
        <v>395</v>
      </c>
      <c r="BN110" s="5">
        <v>37</v>
      </c>
      <c r="BO110" s="5" t="s">
        <v>395</v>
      </c>
      <c r="BP110" s="5" t="s">
        <v>395</v>
      </c>
      <c r="BQ110" s="5" t="s">
        <v>395</v>
      </c>
      <c r="BR110" s="5" t="s">
        <v>395</v>
      </c>
      <c r="BS110" s="5" t="s">
        <v>395</v>
      </c>
      <c r="BT110" s="5" t="s">
        <v>395</v>
      </c>
      <c r="BU110" s="5" t="s">
        <v>395</v>
      </c>
      <c r="BV110" s="5" t="s">
        <v>395</v>
      </c>
      <c r="BW110" s="5" t="s">
        <v>395</v>
      </c>
      <c r="BX110" s="5" t="s">
        <v>395</v>
      </c>
      <c r="BY110" s="5" t="s">
        <v>395</v>
      </c>
      <c r="BZ110" s="5" t="s">
        <v>395</v>
      </c>
      <c r="CA110" s="5" t="s">
        <v>395</v>
      </c>
      <c r="CB110" s="5" t="s">
        <v>395</v>
      </c>
      <c r="CC110" s="5" t="s">
        <v>395</v>
      </c>
      <c r="CD110" s="5" t="s">
        <v>395</v>
      </c>
      <c r="CE110" s="5" t="s">
        <v>395</v>
      </c>
      <c r="CF110" s="5" t="s">
        <v>395</v>
      </c>
      <c r="CG110" s="5" t="s">
        <v>395</v>
      </c>
      <c r="CH110" s="5" t="s">
        <v>395</v>
      </c>
      <c r="CI110" s="5" t="s">
        <v>395</v>
      </c>
      <c r="CJ110" s="5" t="s">
        <v>395</v>
      </c>
      <c r="CK110" s="5" t="s">
        <v>395</v>
      </c>
      <c r="CL110" s="5" t="s">
        <v>395</v>
      </c>
      <c r="CM110" s="5" t="s">
        <v>395</v>
      </c>
      <c r="CN110" s="5" t="s">
        <v>395</v>
      </c>
      <c r="CO110" s="5" t="s">
        <v>395</v>
      </c>
      <c r="CP110" s="5" t="s">
        <v>395</v>
      </c>
      <c r="CQ110" s="5" t="s">
        <v>395</v>
      </c>
      <c r="CR110" s="5" t="s">
        <v>395</v>
      </c>
      <c r="CS110" s="5" t="s">
        <v>395</v>
      </c>
      <c r="CT110" s="5" t="s">
        <v>395</v>
      </c>
      <c r="CU110" s="5" t="s">
        <v>395</v>
      </c>
      <c r="CV110" s="5" t="s">
        <v>395</v>
      </c>
      <c r="CW110" s="5" t="s">
        <v>395</v>
      </c>
      <c r="CX110" s="5" t="s">
        <v>395</v>
      </c>
      <c r="CY110" s="252" t="s">
        <v>395</v>
      </c>
    </row>
    <row r="111" spans="1:103" x14ac:dyDescent="0.3">
      <c r="A111" s="98" t="s">
        <v>7</v>
      </c>
      <c r="B111" s="98" t="s">
        <v>7</v>
      </c>
      <c r="C111" s="132" t="s">
        <v>20</v>
      </c>
      <c r="D111" s="132"/>
      <c r="E111" s="98"/>
      <c r="F111" s="98"/>
      <c r="G111" s="245">
        <v>43691</v>
      </c>
      <c r="H111" s="1">
        <v>2019</v>
      </c>
      <c r="I111" s="75" t="s">
        <v>33</v>
      </c>
      <c r="J111" s="75">
        <v>10</v>
      </c>
      <c r="K111" s="155">
        <v>0.41477587729210202</v>
      </c>
      <c r="L111" s="5" t="s">
        <v>395</v>
      </c>
      <c r="M111" s="5">
        <v>3.9912120102526552E-2</v>
      </c>
      <c r="N111" s="5">
        <v>0.21645917246429877</v>
      </c>
      <c r="O111" s="5">
        <v>0.91005126327352626</v>
      </c>
      <c r="P111" s="5">
        <v>0.90675576711827177</v>
      </c>
      <c r="Q111" s="5">
        <v>2.3846759428780668</v>
      </c>
      <c r="R111" s="5">
        <v>2.0504393994873675</v>
      </c>
      <c r="S111" s="5">
        <v>0.86931526913218604</v>
      </c>
      <c r="T111" s="5">
        <v>7.3776089344562443</v>
      </c>
      <c r="U111" s="5">
        <f t="shared" si="10"/>
        <v>78.004212896654707</v>
      </c>
      <c r="V111" s="5" t="s">
        <v>60</v>
      </c>
      <c r="W111" s="5">
        <v>6.9075613465190408E-2</v>
      </c>
      <c r="X111" s="5">
        <v>2.1512760275296073E-2</v>
      </c>
      <c r="Y111" s="5">
        <v>2.9993879133061476E-2</v>
      </c>
      <c r="Z111" s="5">
        <v>2.6511740130806316E-2</v>
      </c>
      <c r="AA111" s="5" t="s">
        <v>56</v>
      </c>
      <c r="AB111" s="5" t="s">
        <v>60</v>
      </c>
      <c r="AC111" s="5" t="s">
        <v>65</v>
      </c>
      <c r="AD111" s="5">
        <v>0.14709399300435427</v>
      </c>
      <c r="AE111" s="5">
        <f t="shared" si="15"/>
        <v>0.12058225287354796</v>
      </c>
      <c r="AF111" s="5">
        <v>1.6477480776272427E-2</v>
      </c>
      <c r="AG111" s="250">
        <f>AF111*(5/K111)</f>
        <v>0.19863113645671726</v>
      </c>
      <c r="AH111" s="250">
        <v>5.1242751229538275</v>
      </c>
      <c r="AI111" s="5" t="s">
        <v>69</v>
      </c>
      <c r="AJ111" s="5" t="s">
        <v>65</v>
      </c>
      <c r="AK111" s="5" t="s">
        <v>69</v>
      </c>
      <c r="AL111" s="5" t="s">
        <v>69</v>
      </c>
      <c r="AM111" s="5" t="s">
        <v>126</v>
      </c>
      <c r="AN111" s="5">
        <v>1.1640607795639726</v>
      </c>
      <c r="AO111" s="5">
        <v>0.542274095280041</v>
      </c>
      <c r="AP111" s="5" t="s">
        <v>69</v>
      </c>
      <c r="AQ111" s="5">
        <v>0.72747069906285933</v>
      </c>
      <c r="AR111" s="5" t="s">
        <v>65</v>
      </c>
      <c r="AS111" s="5" t="s">
        <v>395</v>
      </c>
      <c r="AT111" s="5" t="s">
        <v>395</v>
      </c>
      <c r="AU111" s="5" t="s">
        <v>395</v>
      </c>
      <c r="AV111" s="5" t="s">
        <v>395</v>
      </c>
      <c r="AW111" s="5" t="s">
        <v>395</v>
      </c>
      <c r="AX111" s="5" t="s">
        <v>395</v>
      </c>
      <c r="AY111" s="5" t="s">
        <v>395</v>
      </c>
      <c r="AZ111" s="5" t="s">
        <v>395</v>
      </c>
      <c r="BA111" s="5" t="s">
        <v>395</v>
      </c>
      <c r="BB111" s="5" t="s">
        <v>395</v>
      </c>
      <c r="BC111" s="5" t="s">
        <v>395</v>
      </c>
      <c r="BD111" s="5" t="s">
        <v>395</v>
      </c>
      <c r="BE111" s="5" t="s">
        <v>395</v>
      </c>
      <c r="BF111" s="5" t="s">
        <v>395</v>
      </c>
      <c r="BG111" s="5" t="s">
        <v>395</v>
      </c>
      <c r="BH111" s="5" t="s">
        <v>395</v>
      </c>
      <c r="BI111" s="5" t="s">
        <v>395</v>
      </c>
      <c r="BJ111" s="5" t="s">
        <v>395</v>
      </c>
      <c r="BK111" s="5" t="s">
        <v>395</v>
      </c>
      <c r="BL111" s="5" t="s">
        <v>395</v>
      </c>
      <c r="BM111" s="5" t="s">
        <v>395</v>
      </c>
      <c r="BN111" s="5">
        <v>140</v>
      </c>
      <c r="BO111" s="5" t="s">
        <v>395</v>
      </c>
      <c r="BP111" s="5" t="s">
        <v>395</v>
      </c>
      <c r="BQ111" s="5" t="s">
        <v>395</v>
      </c>
      <c r="BR111" s="5" t="s">
        <v>395</v>
      </c>
      <c r="BS111" s="5" t="s">
        <v>395</v>
      </c>
      <c r="BT111" s="5" t="s">
        <v>395</v>
      </c>
      <c r="BU111" s="5" t="s">
        <v>395</v>
      </c>
      <c r="BV111" s="5" t="s">
        <v>395</v>
      </c>
      <c r="BW111" s="5" t="s">
        <v>395</v>
      </c>
      <c r="BX111" s="5" t="s">
        <v>395</v>
      </c>
      <c r="BY111" s="5" t="s">
        <v>395</v>
      </c>
      <c r="BZ111" s="5" t="s">
        <v>395</v>
      </c>
      <c r="CA111" s="5" t="s">
        <v>395</v>
      </c>
      <c r="CB111" s="5" t="s">
        <v>395</v>
      </c>
      <c r="CC111" s="5" t="s">
        <v>395</v>
      </c>
      <c r="CD111" s="5" t="s">
        <v>395</v>
      </c>
      <c r="CE111" s="5" t="s">
        <v>395</v>
      </c>
      <c r="CF111" s="5" t="s">
        <v>395</v>
      </c>
      <c r="CG111" s="5" t="s">
        <v>395</v>
      </c>
      <c r="CH111" s="5" t="s">
        <v>395</v>
      </c>
      <c r="CI111" s="5" t="s">
        <v>395</v>
      </c>
      <c r="CJ111" s="5" t="s">
        <v>395</v>
      </c>
      <c r="CK111" s="5" t="s">
        <v>395</v>
      </c>
      <c r="CL111" s="5" t="s">
        <v>395</v>
      </c>
      <c r="CM111" s="5" t="s">
        <v>395</v>
      </c>
      <c r="CN111" s="5" t="s">
        <v>395</v>
      </c>
      <c r="CO111" s="5" t="s">
        <v>395</v>
      </c>
      <c r="CP111" s="5" t="s">
        <v>395</v>
      </c>
      <c r="CQ111" s="5" t="s">
        <v>395</v>
      </c>
      <c r="CR111" s="5" t="s">
        <v>395</v>
      </c>
      <c r="CS111" s="5" t="s">
        <v>395</v>
      </c>
      <c r="CT111" s="5" t="s">
        <v>395</v>
      </c>
      <c r="CU111" s="5" t="s">
        <v>395</v>
      </c>
      <c r="CV111" s="5" t="s">
        <v>395</v>
      </c>
      <c r="CW111" s="5" t="s">
        <v>395</v>
      </c>
      <c r="CX111" s="5" t="s">
        <v>395</v>
      </c>
      <c r="CY111" s="252" t="s">
        <v>395</v>
      </c>
    </row>
    <row r="112" spans="1:103" x14ac:dyDescent="0.3">
      <c r="A112" s="98" t="s">
        <v>8</v>
      </c>
      <c r="B112" s="98" t="s">
        <v>8</v>
      </c>
      <c r="C112" s="132" t="s">
        <v>20</v>
      </c>
      <c r="D112" s="132"/>
      <c r="E112" s="98"/>
      <c r="F112" s="98"/>
      <c r="G112" s="245">
        <v>43712</v>
      </c>
      <c r="H112" s="1">
        <v>2019</v>
      </c>
      <c r="I112" s="75" t="s">
        <v>33</v>
      </c>
      <c r="J112" s="75">
        <v>10</v>
      </c>
      <c r="K112" s="155">
        <v>0.42815814850533396</v>
      </c>
      <c r="L112" s="5" t="s">
        <v>395</v>
      </c>
      <c r="M112" s="5" t="s">
        <v>62</v>
      </c>
      <c r="N112" s="5">
        <v>5.5020698950611339E-2</v>
      </c>
      <c r="O112" s="5">
        <v>0.42993164532588812</v>
      </c>
      <c r="P112" s="5">
        <v>0.38628092808318087</v>
      </c>
      <c r="Q112" s="5">
        <v>1.9109078656012319</v>
      </c>
      <c r="R112" s="5">
        <v>1.453643978049485</v>
      </c>
      <c r="S112" s="5">
        <v>0.82737075190141518</v>
      </c>
      <c r="T112" s="5">
        <v>5.0631558679118127</v>
      </c>
      <c r="U112" s="5">
        <f t="shared" si="10"/>
        <v>54.61620847524717</v>
      </c>
      <c r="V112" s="5" t="s">
        <v>60</v>
      </c>
      <c r="W112" s="5">
        <v>4.1963125618521668E-2</v>
      </c>
      <c r="X112" s="5">
        <v>1.8856955595146985E-2</v>
      </c>
      <c r="Y112" s="5">
        <v>3.8942599699661018E-2</v>
      </c>
      <c r="Z112" s="5" t="s">
        <v>72</v>
      </c>
      <c r="AA112" s="5" t="s">
        <v>56</v>
      </c>
      <c r="AB112" s="5" t="s">
        <v>60</v>
      </c>
      <c r="AC112" s="5" t="s">
        <v>65</v>
      </c>
      <c r="AD112" s="5">
        <v>9.9762680913329668E-2</v>
      </c>
      <c r="AE112" s="5">
        <f t="shared" si="15"/>
        <v>9.9762680913329668E-2</v>
      </c>
      <c r="AF112" s="5" t="s">
        <v>72</v>
      </c>
      <c r="AG112" s="250" t="s">
        <v>395</v>
      </c>
      <c r="AH112" s="250">
        <v>14.363227170428972</v>
      </c>
      <c r="AI112" s="5" t="s">
        <v>69</v>
      </c>
      <c r="AJ112" s="5" t="s">
        <v>65</v>
      </c>
      <c r="AK112" s="5" t="s">
        <v>69</v>
      </c>
      <c r="AL112" s="5" t="s">
        <v>69</v>
      </c>
      <c r="AM112" s="5" t="s">
        <v>126</v>
      </c>
      <c r="AN112" s="5">
        <v>2.4795744390643115</v>
      </c>
      <c r="AO112" s="5">
        <v>0.37764441110277569</v>
      </c>
      <c r="AP112" s="5" t="s">
        <v>69</v>
      </c>
      <c r="AQ112" s="5">
        <v>0.88047011752938253</v>
      </c>
      <c r="AR112" s="5" t="s">
        <v>65</v>
      </c>
      <c r="AS112" s="5" t="s">
        <v>395</v>
      </c>
      <c r="AT112" s="5" t="s">
        <v>395</v>
      </c>
      <c r="AU112" s="5" t="s">
        <v>395</v>
      </c>
      <c r="AV112" s="5" t="s">
        <v>395</v>
      </c>
      <c r="AW112" s="5" t="s">
        <v>395</v>
      </c>
      <c r="AX112" s="5" t="s">
        <v>395</v>
      </c>
      <c r="AY112" s="5" t="s">
        <v>395</v>
      </c>
      <c r="AZ112" s="5" t="s">
        <v>395</v>
      </c>
      <c r="BA112" s="5" t="s">
        <v>395</v>
      </c>
      <c r="BB112" s="5" t="s">
        <v>395</v>
      </c>
      <c r="BC112" s="5" t="s">
        <v>395</v>
      </c>
      <c r="BD112" s="5" t="s">
        <v>395</v>
      </c>
      <c r="BE112" s="5" t="s">
        <v>395</v>
      </c>
      <c r="BF112" s="5" t="s">
        <v>395</v>
      </c>
      <c r="BG112" s="5" t="s">
        <v>395</v>
      </c>
      <c r="BH112" s="5" t="s">
        <v>395</v>
      </c>
      <c r="BI112" s="5" t="s">
        <v>395</v>
      </c>
      <c r="BJ112" s="5" t="s">
        <v>395</v>
      </c>
      <c r="BK112" s="5" t="s">
        <v>395</v>
      </c>
      <c r="BL112" s="5" t="s">
        <v>395</v>
      </c>
      <c r="BM112" s="5" t="s">
        <v>395</v>
      </c>
      <c r="BN112" s="5">
        <v>120</v>
      </c>
      <c r="BO112" s="5" t="s">
        <v>395</v>
      </c>
      <c r="BP112" s="5" t="s">
        <v>395</v>
      </c>
      <c r="BQ112" s="5" t="s">
        <v>395</v>
      </c>
      <c r="BR112" s="5" t="s">
        <v>395</v>
      </c>
      <c r="BS112" s="5" t="s">
        <v>395</v>
      </c>
      <c r="BT112" s="5" t="s">
        <v>395</v>
      </c>
      <c r="BU112" s="5" t="s">
        <v>395</v>
      </c>
      <c r="BV112" s="5" t="s">
        <v>395</v>
      </c>
      <c r="BW112" s="5" t="s">
        <v>395</v>
      </c>
      <c r="BX112" s="5" t="s">
        <v>395</v>
      </c>
      <c r="BY112" s="5" t="s">
        <v>395</v>
      </c>
      <c r="BZ112" s="5" t="s">
        <v>395</v>
      </c>
      <c r="CA112" s="5" t="s">
        <v>395</v>
      </c>
      <c r="CB112" s="5" t="s">
        <v>395</v>
      </c>
      <c r="CC112" s="5" t="s">
        <v>395</v>
      </c>
      <c r="CD112" s="5" t="s">
        <v>395</v>
      </c>
      <c r="CE112" s="5" t="s">
        <v>395</v>
      </c>
      <c r="CF112" s="5" t="s">
        <v>395</v>
      </c>
      <c r="CG112" s="5" t="s">
        <v>395</v>
      </c>
      <c r="CH112" s="5" t="s">
        <v>395</v>
      </c>
      <c r="CI112" s="5" t="s">
        <v>395</v>
      </c>
      <c r="CJ112" s="5" t="s">
        <v>395</v>
      </c>
      <c r="CK112" s="5" t="s">
        <v>395</v>
      </c>
      <c r="CL112" s="5" t="s">
        <v>395</v>
      </c>
      <c r="CM112" s="5" t="s">
        <v>395</v>
      </c>
      <c r="CN112" s="5" t="s">
        <v>395</v>
      </c>
      <c r="CO112" s="5" t="s">
        <v>395</v>
      </c>
      <c r="CP112" s="5" t="s">
        <v>395</v>
      </c>
      <c r="CQ112" s="5" t="s">
        <v>395</v>
      </c>
      <c r="CR112" s="5" t="s">
        <v>395</v>
      </c>
      <c r="CS112" s="5" t="s">
        <v>395</v>
      </c>
      <c r="CT112" s="5" t="s">
        <v>395</v>
      </c>
      <c r="CU112" s="5" t="s">
        <v>395</v>
      </c>
      <c r="CV112" s="5" t="s">
        <v>395</v>
      </c>
      <c r="CW112" s="5" t="s">
        <v>395</v>
      </c>
      <c r="CX112" s="5" t="s">
        <v>395</v>
      </c>
      <c r="CY112" s="252" t="s">
        <v>395</v>
      </c>
    </row>
    <row r="113" spans="1:103" x14ac:dyDescent="0.3">
      <c r="A113" s="98" t="s">
        <v>29</v>
      </c>
      <c r="B113" s="98" t="s">
        <v>29</v>
      </c>
      <c r="C113" s="132" t="s">
        <v>20</v>
      </c>
      <c r="D113" s="132"/>
      <c r="E113" s="98"/>
      <c r="F113" s="98"/>
      <c r="G113" s="245">
        <v>43703</v>
      </c>
      <c r="H113" s="1">
        <v>2019</v>
      </c>
      <c r="I113" s="75" t="s">
        <v>33</v>
      </c>
      <c r="J113" s="75">
        <v>10</v>
      </c>
      <c r="K113" s="155">
        <v>0.25776381066721099</v>
      </c>
      <c r="L113" s="5" t="s">
        <v>395</v>
      </c>
      <c r="M113" s="5">
        <v>1.8235294117647058E-2</v>
      </c>
      <c r="N113" s="5">
        <v>5.033088235294117E-2</v>
      </c>
      <c r="O113" s="5">
        <v>0.31844669117647056</v>
      </c>
      <c r="P113" s="5">
        <v>0.35080882352941178</v>
      </c>
      <c r="Q113" s="5">
        <v>1.0370863970588236</v>
      </c>
      <c r="R113" s="5">
        <v>0.78079044117647045</v>
      </c>
      <c r="S113" s="5">
        <v>0.3138786764705882</v>
      </c>
      <c r="T113" s="5">
        <v>2.869577205882353</v>
      </c>
      <c r="U113" s="5">
        <f t="shared" si="10"/>
        <v>48.858068474259689</v>
      </c>
      <c r="V113" s="5" t="s">
        <v>60</v>
      </c>
      <c r="W113" s="5">
        <v>3.6886673667901416E-2</v>
      </c>
      <c r="X113" s="5" t="s">
        <v>60</v>
      </c>
      <c r="Y113" s="5">
        <v>2.4130546386092033E-2</v>
      </c>
      <c r="Z113" s="5" t="s">
        <v>72</v>
      </c>
      <c r="AA113" s="5" t="s">
        <v>56</v>
      </c>
      <c r="AB113" s="5" t="s">
        <v>60</v>
      </c>
      <c r="AC113" s="5" t="s">
        <v>65</v>
      </c>
      <c r="AD113" s="5">
        <v>6.1017220053993446E-2</v>
      </c>
      <c r="AE113" s="5">
        <f t="shared" si="15"/>
        <v>6.1017220053993446E-2</v>
      </c>
      <c r="AF113" s="5">
        <v>3.4742647058823524E-2</v>
      </c>
      <c r="AG113" s="250">
        <f>AF113*(5/K113)</f>
        <v>0.67392406577350039</v>
      </c>
      <c r="AH113" s="250">
        <v>23.714265821903503</v>
      </c>
      <c r="AI113" s="5" t="s">
        <v>69</v>
      </c>
      <c r="AJ113" s="5" t="s">
        <v>65</v>
      </c>
      <c r="AK113" s="5" t="s">
        <v>69</v>
      </c>
      <c r="AL113" s="5" t="s">
        <v>69</v>
      </c>
      <c r="AM113" s="5" t="s">
        <v>126</v>
      </c>
      <c r="AN113" s="5">
        <v>2.5174406461045744</v>
      </c>
      <c r="AO113" s="5">
        <v>0.4015456380978904</v>
      </c>
      <c r="AP113" s="5" t="s">
        <v>69</v>
      </c>
      <c r="AQ113" s="5">
        <v>0.7874631576504445</v>
      </c>
      <c r="AR113" s="5">
        <v>0.10547007356866021</v>
      </c>
      <c r="AS113" s="5" t="s">
        <v>395</v>
      </c>
      <c r="AT113" s="5" t="s">
        <v>395</v>
      </c>
      <c r="AU113" s="5" t="s">
        <v>395</v>
      </c>
      <c r="AV113" s="5" t="s">
        <v>395</v>
      </c>
      <c r="AW113" s="5" t="s">
        <v>395</v>
      </c>
      <c r="AX113" s="5" t="s">
        <v>395</v>
      </c>
      <c r="AY113" s="5" t="s">
        <v>395</v>
      </c>
      <c r="AZ113" s="5" t="s">
        <v>395</v>
      </c>
      <c r="BA113" s="5" t="s">
        <v>395</v>
      </c>
      <c r="BB113" s="5" t="s">
        <v>395</v>
      </c>
      <c r="BC113" s="5" t="s">
        <v>395</v>
      </c>
      <c r="BD113" s="5" t="s">
        <v>395</v>
      </c>
      <c r="BE113" s="5" t="s">
        <v>395</v>
      </c>
      <c r="BF113" s="5" t="s">
        <v>395</v>
      </c>
      <c r="BG113" s="5" t="s">
        <v>395</v>
      </c>
      <c r="BH113" s="5" t="s">
        <v>395</v>
      </c>
      <c r="BI113" s="5" t="s">
        <v>395</v>
      </c>
      <c r="BJ113" s="5" t="s">
        <v>395</v>
      </c>
      <c r="BK113" s="5" t="s">
        <v>395</v>
      </c>
      <c r="BL113" s="5" t="s">
        <v>395</v>
      </c>
      <c r="BM113" s="5" t="s">
        <v>395</v>
      </c>
      <c r="BN113" s="5">
        <v>64</v>
      </c>
      <c r="BO113" s="5" t="s">
        <v>395</v>
      </c>
      <c r="BP113" s="5" t="s">
        <v>395</v>
      </c>
      <c r="BQ113" s="5" t="s">
        <v>395</v>
      </c>
      <c r="BR113" s="5" t="s">
        <v>395</v>
      </c>
      <c r="BS113" s="5" t="s">
        <v>395</v>
      </c>
      <c r="BT113" s="5" t="s">
        <v>395</v>
      </c>
      <c r="BU113" s="5" t="s">
        <v>395</v>
      </c>
      <c r="BV113" s="5" t="s">
        <v>395</v>
      </c>
      <c r="BW113" s="5" t="s">
        <v>395</v>
      </c>
      <c r="BX113" s="5" t="s">
        <v>395</v>
      </c>
      <c r="BY113" s="5" t="s">
        <v>395</v>
      </c>
      <c r="BZ113" s="5" t="s">
        <v>395</v>
      </c>
      <c r="CA113" s="5" t="s">
        <v>395</v>
      </c>
      <c r="CB113" s="5" t="s">
        <v>395</v>
      </c>
      <c r="CC113" s="5" t="s">
        <v>395</v>
      </c>
      <c r="CD113" s="5" t="s">
        <v>395</v>
      </c>
      <c r="CE113" s="5" t="s">
        <v>395</v>
      </c>
      <c r="CF113" s="5" t="s">
        <v>395</v>
      </c>
      <c r="CG113" s="5" t="s">
        <v>395</v>
      </c>
      <c r="CH113" s="5" t="s">
        <v>395</v>
      </c>
      <c r="CI113" s="5" t="s">
        <v>395</v>
      </c>
      <c r="CJ113" s="5" t="s">
        <v>395</v>
      </c>
      <c r="CK113" s="5" t="s">
        <v>395</v>
      </c>
      <c r="CL113" s="5" t="s">
        <v>395</v>
      </c>
      <c r="CM113" s="5" t="s">
        <v>395</v>
      </c>
      <c r="CN113" s="5" t="s">
        <v>395</v>
      </c>
      <c r="CO113" s="5" t="s">
        <v>395</v>
      </c>
      <c r="CP113" s="5" t="s">
        <v>395</v>
      </c>
      <c r="CQ113" s="5" t="s">
        <v>395</v>
      </c>
      <c r="CR113" s="5" t="s">
        <v>395</v>
      </c>
      <c r="CS113" s="5" t="s">
        <v>395</v>
      </c>
      <c r="CT113" s="5" t="s">
        <v>395</v>
      </c>
      <c r="CU113" s="5" t="s">
        <v>395</v>
      </c>
      <c r="CV113" s="5" t="s">
        <v>395</v>
      </c>
      <c r="CW113" s="5" t="s">
        <v>395</v>
      </c>
      <c r="CX113" s="5" t="s">
        <v>395</v>
      </c>
      <c r="CY113" s="252" t="s">
        <v>395</v>
      </c>
    </row>
    <row r="114" spans="1:103" x14ac:dyDescent="0.3">
      <c r="A114" s="98" t="s">
        <v>30</v>
      </c>
      <c r="B114" s="98" t="s">
        <v>30</v>
      </c>
      <c r="C114" s="132" t="s">
        <v>20</v>
      </c>
      <c r="D114" s="132"/>
      <c r="E114" s="98"/>
      <c r="F114" s="98"/>
      <c r="G114" s="245">
        <v>43720</v>
      </c>
      <c r="H114" s="1">
        <v>2019</v>
      </c>
      <c r="I114" s="75" t="s">
        <v>33</v>
      </c>
      <c r="J114" s="75">
        <v>5</v>
      </c>
      <c r="K114" s="155">
        <v>0.34338783314476201</v>
      </c>
      <c r="L114" s="5" t="s">
        <v>395</v>
      </c>
      <c r="M114" s="5">
        <v>0.32939973412414358</v>
      </c>
      <c r="N114" s="5">
        <v>0.81547192964515802</v>
      </c>
      <c r="O114" s="5">
        <v>2.9470600265875859</v>
      </c>
      <c r="P114" s="5">
        <v>2.8493199713672155</v>
      </c>
      <c r="Q114" s="5">
        <v>5.8233766233766229</v>
      </c>
      <c r="R114" s="5">
        <v>5.3956437263523878</v>
      </c>
      <c r="S114" s="5">
        <v>1.7062480826260356</v>
      </c>
      <c r="T114" s="5">
        <v>19.866520094079149</v>
      </c>
      <c r="U114" s="5">
        <f t="shared" si="10"/>
        <v>247.78397019585131</v>
      </c>
      <c r="V114" s="5" t="s">
        <v>60</v>
      </c>
      <c r="W114" s="5">
        <v>6.7278790660348614E-2</v>
      </c>
      <c r="X114" s="5">
        <v>2.9757371587653122E-2</v>
      </c>
      <c r="Y114" s="5">
        <v>4.3582571384438613E-2</v>
      </c>
      <c r="Z114" s="5" t="s">
        <v>72</v>
      </c>
      <c r="AA114" s="5">
        <v>2.0737799695178239E-2</v>
      </c>
      <c r="AB114" s="5">
        <v>1.5398213134833114E-2</v>
      </c>
      <c r="AC114" s="5" t="s">
        <v>65</v>
      </c>
      <c r="AD114" s="5">
        <v>0.17675474646245171</v>
      </c>
      <c r="AE114" s="5">
        <f t="shared" si="15"/>
        <v>0.17675474646245171</v>
      </c>
      <c r="AF114" s="5" t="s">
        <v>72</v>
      </c>
      <c r="AG114" s="250" t="s">
        <v>395</v>
      </c>
      <c r="AH114" s="250">
        <v>21.903546099290782</v>
      </c>
      <c r="AI114" s="5" t="s">
        <v>69</v>
      </c>
      <c r="AJ114" s="5" t="s">
        <v>65</v>
      </c>
      <c r="AK114" s="5" t="s">
        <v>69</v>
      </c>
      <c r="AL114" s="5" t="s">
        <v>69</v>
      </c>
      <c r="AM114" s="5" t="s">
        <v>126</v>
      </c>
      <c r="AN114" s="5">
        <v>2.1665484633569743</v>
      </c>
      <c r="AO114" s="5">
        <v>0.54358156028368798</v>
      </c>
      <c r="AP114" s="5" t="s">
        <v>69</v>
      </c>
      <c r="AQ114" s="5">
        <v>0.88122537431048076</v>
      </c>
      <c r="AR114" s="5" t="s">
        <v>65</v>
      </c>
      <c r="AS114" s="5" t="s">
        <v>395</v>
      </c>
      <c r="AT114" s="5" t="s">
        <v>395</v>
      </c>
      <c r="AU114" s="5" t="s">
        <v>395</v>
      </c>
      <c r="AV114" s="5" t="s">
        <v>395</v>
      </c>
      <c r="AW114" s="5" t="s">
        <v>395</v>
      </c>
      <c r="AX114" s="5" t="s">
        <v>395</v>
      </c>
      <c r="AY114" s="5" t="s">
        <v>395</v>
      </c>
      <c r="AZ114" s="5" t="s">
        <v>395</v>
      </c>
      <c r="BA114" s="5" t="s">
        <v>395</v>
      </c>
      <c r="BB114" s="5" t="s">
        <v>395</v>
      </c>
      <c r="BC114" s="5" t="s">
        <v>395</v>
      </c>
      <c r="BD114" s="5" t="s">
        <v>395</v>
      </c>
      <c r="BE114" s="5" t="s">
        <v>395</v>
      </c>
      <c r="BF114" s="5" t="s">
        <v>395</v>
      </c>
      <c r="BG114" s="5" t="s">
        <v>395</v>
      </c>
      <c r="BH114" s="5" t="s">
        <v>395</v>
      </c>
      <c r="BI114" s="5" t="s">
        <v>395</v>
      </c>
      <c r="BJ114" s="5" t="s">
        <v>395</v>
      </c>
      <c r="BK114" s="5" t="s">
        <v>395</v>
      </c>
      <c r="BL114" s="5" t="s">
        <v>395</v>
      </c>
      <c r="BM114" s="5" t="s">
        <v>395</v>
      </c>
      <c r="BN114" s="5">
        <v>80</v>
      </c>
      <c r="BO114" s="5" t="s">
        <v>395</v>
      </c>
      <c r="BP114" s="5" t="s">
        <v>395</v>
      </c>
      <c r="BQ114" s="5" t="s">
        <v>395</v>
      </c>
      <c r="BR114" s="5" t="s">
        <v>395</v>
      </c>
      <c r="BS114" s="5" t="s">
        <v>395</v>
      </c>
      <c r="BT114" s="5" t="s">
        <v>395</v>
      </c>
      <c r="BU114" s="5" t="s">
        <v>395</v>
      </c>
      <c r="BV114" s="5" t="s">
        <v>395</v>
      </c>
      <c r="BW114" s="5" t="s">
        <v>395</v>
      </c>
      <c r="BX114" s="5" t="s">
        <v>395</v>
      </c>
      <c r="BY114" s="5" t="s">
        <v>395</v>
      </c>
      <c r="BZ114" s="5" t="s">
        <v>395</v>
      </c>
      <c r="CA114" s="5" t="s">
        <v>395</v>
      </c>
      <c r="CB114" s="5" t="s">
        <v>395</v>
      </c>
      <c r="CC114" s="5" t="s">
        <v>395</v>
      </c>
      <c r="CD114" s="5" t="s">
        <v>395</v>
      </c>
      <c r="CE114" s="5" t="s">
        <v>395</v>
      </c>
      <c r="CF114" s="5" t="s">
        <v>395</v>
      </c>
      <c r="CG114" s="5" t="s">
        <v>395</v>
      </c>
      <c r="CH114" s="5" t="s">
        <v>395</v>
      </c>
      <c r="CI114" s="5" t="s">
        <v>395</v>
      </c>
      <c r="CJ114" s="5" t="s">
        <v>395</v>
      </c>
      <c r="CK114" s="5" t="s">
        <v>395</v>
      </c>
      <c r="CL114" s="5" t="s">
        <v>395</v>
      </c>
      <c r="CM114" s="5" t="s">
        <v>395</v>
      </c>
      <c r="CN114" s="5" t="s">
        <v>395</v>
      </c>
      <c r="CO114" s="5" t="s">
        <v>395</v>
      </c>
      <c r="CP114" s="5" t="s">
        <v>395</v>
      </c>
      <c r="CQ114" s="5" t="s">
        <v>395</v>
      </c>
      <c r="CR114" s="5" t="s">
        <v>395</v>
      </c>
      <c r="CS114" s="5" t="s">
        <v>395</v>
      </c>
      <c r="CT114" s="5" t="s">
        <v>395</v>
      </c>
      <c r="CU114" s="5" t="s">
        <v>395</v>
      </c>
      <c r="CV114" s="5" t="s">
        <v>395</v>
      </c>
      <c r="CW114" s="5" t="s">
        <v>395</v>
      </c>
      <c r="CX114" s="5" t="s">
        <v>395</v>
      </c>
      <c r="CY114" s="252" t="s">
        <v>395</v>
      </c>
    </row>
    <row r="115" spans="1:103" x14ac:dyDescent="0.3">
      <c r="A115" s="98" t="s">
        <v>9</v>
      </c>
      <c r="B115" s="98" t="s">
        <v>9</v>
      </c>
      <c r="C115" s="132" t="s">
        <v>20</v>
      </c>
      <c r="D115" s="132"/>
      <c r="E115" s="98"/>
      <c r="F115" s="98"/>
      <c r="G115" s="245">
        <v>43693</v>
      </c>
      <c r="H115" s="1">
        <v>2019</v>
      </c>
      <c r="I115" s="75" t="s">
        <v>33</v>
      </c>
      <c r="J115" s="75">
        <v>10</v>
      </c>
      <c r="K115" s="155">
        <v>0.38279621612951198</v>
      </c>
      <c r="L115" s="5" t="s">
        <v>395</v>
      </c>
      <c r="M115" s="5" t="s">
        <v>62</v>
      </c>
      <c r="N115" s="5">
        <v>0.12531170805879371</v>
      </c>
      <c r="O115" s="5">
        <v>0.70715661429295495</v>
      </c>
      <c r="P115" s="5">
        <v>0.47839837810440955</v>
      </c>
      <c r="Q115" s="5">
        <v>2.0338773441459703</v>
      </c>
      <c r="R115" s="5">
        <v>1.7000506842372023</v>
      </c>
      <c r="S115" s="5">
        <v>0.71883426254434868</v>
      </c>
      <c r="T115" s="5">
        <v>5.7636289913836798</v>
      </c>
      <c r="U115" s="5">
        <f t="shared" si="10"/>
        <v>69.034520073352951</v>
      </c>
      <c r="V115" s="5" t="s">
        <v>60</v>
      </c>
      <c r="W115" s="5">
        <v>3.7533461434296971E-2</v>
      </c>
      <c r="X115" s="5">
        <v>1.8260685769526004E-2</v>
      </c>
      <c r="Y115" s="5">
        <v>3.1073313166775973E-2</v>
      </c>
      <c r="Z115" s="5">
        <v>4.746055593872088E-2</v>
      </c>
      <c r="AA115" s="5" t="s">
        <v>56</v>
      </c>
      <c r="AB115" s="5" t="s">
        <v>60</v>
      </c>
      <c r="AC115" s="5" t="s">
        <v>65</v>
      </c>
      <c r="AD115" s="5">
        <v>0.13432801630931984</v>
      </c>
      <c r="AE115" s="5">
        <f t="shared" si="15"/>
        <v>8.6867460370598948E-2</v>
      </c>
      <c r="AF115" s="5" t="s">
        <v>72</v>
      </c>
      <c r="AG115" s="250" t="s">
        <v>395</v>
      </c>
      <c r="AH115" s="250">
        <v>2.4312307486272933</v>
      </c>
      <c r="AI115" s="5" t="s">
        <v>69</v>
      </c>
      <c r="AJ115" s="5" t="s">
        <v>65</v>
      </c>
      <c r="AK115" s="5" t="s">
        <v>69</v>
      </c>
      <c r="AL115" s="5" t="s">
        <v>69</v>
      </c>
      <c r="AM115" s="5" t="s">
        <v>126</v>
      </c>
      <c r="AN115" s="5">
        <v>0.48600508905852413</v>
      </c>
      <c r="AO115" s="5" t="s">
        <v>126</v>
      </c>
      <c r="AP115" s="5" t="s">
        <v>69</v>
      </c>
      <c r="AQ115" s="5">
        <v>0.20090620954421679</v>
      </c>
      <c r="AR115" s="5" t="s">
        <v>65</v>
      </c>
      <c r="AS115" s="5" t="s">
        <v>395</v>
      </c>
      <c r="AT115" s="5" t="s">
        <v>395</v>
      </c>
      <c r="AU115" s="5" t="s">
        <v>395</v>
      </c>
      <c r="AV115" s="5" t="s">
        <v>395</v>
      </c>
      <c r="AW115" s="5" t="s">
        <v>395</v>
      </c>
      <c r="AX115" s="5" t="s">
        <v>395</v>
      </c>
      <c r="AY115" s="5" t="s">
        <v>395</v>
      </c>
      <c r="AZ115" s="5" t="s">
        <v>395</v>
      </c>
      <c r="BA115" s="5" t="s">
        <v>395</v>
      </c>
      <c r="BB115" s="5" t="s">
        <v>395</v>
      </c>
      <c r="BC115" s="5" t="s">
        <v>395</v>
      </c>
      <c r="BD115" s="5" t="s">
        <v>395</v>
      </c>
      <c r="BE115" s="5" t="s">
        <v>395</v>
      </c>
      <c r="BF115" s="5" t="s">
        <v>395</v>
      </c>
      <c r="BG115" s="5" t="s">
        <v>395</v>
      </c>
      <c r="BH115" s="5" t="s">
        <v>395</v>
      </c>
      <c r="BI115" s="5" t="s">
        <v>395</v>
      </c>
      <c r="BJ115" s="5" t="s">
        <v>395</v>
      </c>
      <c r="BK115" s="5" t="s">
        <v>395</v>
      </c>
      <c r="BL115" s="5" t="s">
        <v>395</v>
      </c>
      <c r="BM115" s="5" t="s">
        <v>395</v>
      </c>
      <c r="BN115" s="5">
        <v>28</v>
      </c>
      <c r="BO115" s="5" t="s">
        <v>395</v>
      </c>
      <c r="BP115" s="5" t="s">
        <v>395</v>
      </c>
      <c r="BQ115" s="5" t="s">
        <v>395</v>
      </c>
      <c r="BR115" s="5" t="s">
        <v>395</v>
      </c>
      <c r="BS115" s="5" t="s">
        <v>395</v>
      </c>
      <c r="BT115" s="5" t="s">
        <v>395</v>
      </c>
      <c r="BU115" s="5" t="s">
        <v>395</v>
      </c>
      <c r="BV115" s="5" t="s">
        <v>395</v>
      </c>
      <c r="BW115" s="5" t="s">
        <v>395</v>
      </c>
      <c r="BX115" s="5" t="s">
        <v>395</v>
      </c>
      <c r="BY115" s="5" t="s">
        <v>395</v>
      </c>
      <c r="BZ115" s="5" t="s">
        <v>395</v>
      </c>
      <c r="CA115" s="5" t="s">
        <v>395</v>
      </c>
      <c r="CB115" s="5" t="s">
        <v>395</v>
      </c>
      <c r="CC115" s="5" t="s">
        <v>395</v>
      </c>
      <c r="CD115" s="5" t="s">
        <v>395</v>
      </c>
      <c r="CE115" s="5" t="s">
        <v>395</v>
      </c>
      <c r="CF115" s="5" t="s">
        <v>395</v>
      </c>
      <c r="CG115" s="5" t="s">
        <v>395</v>
      </c>
      <c r="CH115" s="5" t="s">
        <v>395</v>
      </c>
      <c r="CI115" s="5" t="s">
        <v>395</v>
      </c>
      <c r="CJ115" s="5" t="s">
        <v>395</v>
      </c>
      <c r="CK115" s="5" t="s">
        <v>395</v>
      </c>
      <c r="CL115" s="5" t="s">
        <v>395</v>
      </c>
      <c r="CM115" s="5" t="s">
        <v>395</v>
      </c>
      <c r="CN115" s="5" t="s">
        <v>395</v>
      </c>
      <c r="CO115" s="5" t="s">
        <v>395</v>
      </c>
      <c r="CP115" s="5" t="s">
        <v>395</v>
      </c>
      <c r="CQ115" s="5" t="s">
        <v>395</v>
      </c>
      <c r="CR115" s="5" t="s">
        <v>395</v>
      </c>
      <c r="CS115" s="5" t="s">
        <v>395</v>
      </c>
      <c r="CT115" s="5" t="s">
        <v>395</v>
      </c>
      <c r="CU115" s="5" t="s">
        <v>395</v>
      </c>
      <c r="CV115" s="5" t="s">
        <v>395</v>
      </c>
      <c r="CW115" s="5" t="s">
        <v>395</v>
      </c>
      <c r="CX115" s="5" t="s">
        <v>395</v>
      </c>
      <c r="CY115" s="252" t="s">
        <v>395</v>
      </c>
    </row>
    <row r="116" spans="1:103" x14ac:dyDescent="0.3">
      <c r="A116" s="98" t="s">
        <v>10</v>
      </c>
      <c r="B116" s="98" t="s">
        <v>10</v>
      </c>
      <c r="C116" s="132" t="s">
        <v>20</v>
      </c>
      <c r="D116" s="132"/>
      <c r="E116" s="98"/>
      <c r="F116" s="98"/>
      <c r="G116" s="245">
        <v>43684</v>
      </c>
      <c r="H116" s="1">
        <v>2019</v>
      </c>
      <c r="I116" s="75" t="s">
        <v>33</v>
      </c>
      <c r="J116" s="75">
        <v>10</v>
      </c>
      <c r="K116" s="155">
        <v>0.365732018175774</v>
      </c>
      <c r="L116" s="5" t="s">
        <v>395</v>
      </c>
      <c r="M116" s="5">
        <v>2.372640552060077E-2</v>
      </c>
      <c r="N116" s="5">
        <v>6.8794398213923275E-2</v>
      </c>
      <c r="O116" s="5">
        <v>0.37298558960828093</v>
      </c>
      <c r="P116" s="5">
        <v>0.33863405723564038</v>
      </c>
      <c r="Q116" s="5">
        <v>1.4297138217982546</v>
      </c>
      <c r="R116" s="5">
        <v>1.1498883702049929</v>
      </c>
      <c r="S116" s="5">
        <v>0.47897300588593472</v>
      </c>
      <c r="T116" s="5">
        <v>3.8627156484676273</v>
      </c>
      <c r="U116" s="5">
        <f t="shared" si="10"/>
        <v>48.178466966191117</v>
      </c>
      <c r="V116" s="5" t="s">
        <v>60</v>
      </c>
      <c r="W116" s="5">
        <v>0.11877956305425678</v>
      </c>
      <c r="X116" s="5">
        <v>8.5177941729453185E-2</v>
      </c>
      <c r="Y116" s="5">
        <v>0.1431994329356116</v>
      </c>
      <c r="Z116" s="5">
        <v>4.2798326760831285E-2</v>
      </c>
      <c r="AA116" s="5">
        <v>3.4394182931485662E-2</v>
      </c>
      <c r="AB116" s="5">
        <v>2.5257293465773597E-2</v>
      </c>
      <c r="AC116" s="5" t="s">
        <v>65</v>
      </c>
      <c r="AD116" s="5">
        <v>0.44960674087741209</v>
      </c>
      <c r="AE116" s="5">
        <f t="shared" si="15"/>
        <v>0.40680841411658086</v>
      </c>
      <c r="AF116" s="5" t="s">
        <v>72</v>
      </c>
      <c r="AG116" s="250" t="s">
        <v>395</v>
      </c>
      <c r="AH116" s="250">
        <v>11.199420132282325</v>
      </c>
      <c r="AI116" s="5" t="s">
        <v>69</v>
      </c>
      <c r="AJ116" s="5" t="s">
        <v>65</v>
      </c>
      <c r="AK116" s="5" t="s">
        <v>69</v>
      </c>
      <c r="AL116" s="5" t="s">
        <v>69</v>
      </c>
      <c r="AM116" s="5" t="s">
        <v>126</v>
      </c>
      <c r="AN116" s="5">
        <v>0.61049198151671646</v>
      </c>
      <c r="AO116" s="5" t="s">
        <v>126</v>
      </c>
      <c r="AP116" s="5" t="s">
        <v>69</v>
      </c>
      <c r="AQ116" s="5">
        <v>0.31533327293044605</v>
      </c>
      <c r="AR116" s="5" t="s">
        <v>65</v>
      </c>
      <c r="AS116" s="5" t="s">
        <v>395</v>
      </c>
      <c r="AT116" s="5" t="s">
        <v>395</v>
      </c>
      <c r="AU116" s="5" t="s">
        <v>395</v>
      </c>
      <c r="AV116" s="5" t="s">
        <v>395</v>
      </c>
      <c r="AW116" s="5" t="s">
        <v>395</v>
      </c>
      <c r="AX116" s="5" t="s">
        <v>395</v>
      </c>
      <c r="AY116" s="5" t="s">
        <v>395</v>
      </c>
      <c r="AZ116" s="5" t="s">
        <v>395</v>
      </c>
      <c r="BA116" s="5" t="s">
        <v>395</v>
      </c>
      <c r="BB116" s="5" t="s">
        <v>395</v>
      </c>
      <c r="BC116" s="5" t="s">
        <v>395</v>
      </c>
      <c r="BD116" s="5" t="s">
        <v>395</v>
      </c>
      <c r="BE116" s="5" t="s">
        <v>395</v>
      </c>
      <c r="BF116" s="5" t="s">
        <v>395</v>
      </c>
      <c r="BG116" s="5" t="s">
        <v>395</v>
      </c>
      <c r="BH116" s="5" t="s">
        <v>395</v>
      </c>
      <c r="BI116" s="5" t="s">
        <v>395</v>
      </c>
      <c r="BJ116" s="5" t="s">
        <v>395</v>
      </c>
      <c r="BK116" s="5" t="s">
        <v>395</v>
      </c>
      <c r="BL116" s="5" t="s">
        <v>395</v>
      </c>
      <c r="BM116" s="5" t="s">
        <v>395</v>
      </c>
      <c r="BN116" s="5">
        <v>40</v>
      </c>
      <c r="BO116" s="5" t="s">
        <v>395</v>
      </c>
      <c r="BP116" s="5" t="s">
        <v>395</v>
      </c>
      <c r="BQ116" s="5" t="s">
        <v>395</v>
      </c>
      <c r="BR116" s="5" t="s">
        <v>395</v>
      </c>
      <c r="BS116" s="5" t="s">
        <v>395</v>
      </c>
      <c r="BT116" s="5" t="s">
        <v>395</v>
      </c>
      <c r="BU116" s="5" t="s">
        <v>395</v>
      </c>
      <c r="BV116" s="5" t="s">
        <v>395</v>
      </c>
      <c r="BW116" s="5" t="s">
        <v>395</v>
      </c>
      <c r="BX116" s="5" t="s">
        <v>395</v>
      </c>
      <c r="BY116" s="5" t="s">
        <v>395</v>
      </c>
      <c r="BZ116" s="5" t="s">
        <v>395</v>
      </c>
      <c r="CA116" s="5" t="s">
        <v>395</v>
      </c>
      <c r="CB116" s="5" t="s">
        <v>395</v>
      </c>
      <c r="CC116" s="5" t="s">
        <v>395</v>
      </c>
      <c r="CD116" s="5" t="s">
        <v>395</v>
      </c>
      <c r="CE116" s="5" t="s">
        <v>395</v>
      </c>
      <c r="CF116" s="5" t="s">
        <v>395</v>
      </c>
      <c r="CG116" s="5" t="s">
        <v>395</v>
      </c>
      <c r="CH116" s="5" t="s">
        <v>395</v>
      </c>
      <c r="CI116" s="5" t="s">
        <v>395</v>
      </c>
      <c r="CJ116" s="5" t="s">
        <v>395</v>
      </c>
      <c r="CK116" s="5" t="s">
        <v>395</v>
      </c>
      <c r="CL116" s="5" t="s">
        <v>395</v>
      </c>
      <c r="CM116" s="5" t="s">
        <v>395</v>
      </c>
      <c r="CN116" s="5" t="s">
        <v>395</v>
      </c>
      <c r="CO116" s="5" t="s">
        <v>395</v>
      </c>
      <c r="CP116" s="5" t="s">
        <v>395</v>
      </c>
      <c r="CQ116" s="5" t="s">
        <v>395</v>
      </c>
      <c r="CR116" s="5" t="s">
        <v>395</v>
      </c>
      <c r="CS116" s="5" t="s">
        <v>395</v>
      </c>
      <c r="CT116" s="5" t="s">
        <v>395</v>
      </c>
      <c r="CU116" s="5" t="s">
        <v>395</v>
      </c>
      <c r="CV116" s="5" t="s">
        <v>395</v>
      </c>
      <c r="CW116" s="5" t="s">
        <v>395</v>
      </c>
      <c r="CX116" s="5" t="s">
        <v>395</v>
      </c>
      <c r="CY116" s="252" t="s">
        <v>395</v>
      </c>
    </row>
    <row r="117" spans="1:103" x14ac:dyDescent="0.3">
      <c r="A117" s="98" t="s">
        <v>11</v>
      </c>
      <c r="B117" s="98" t="s">
        <v>11</v>
      </c>
      <c r="C117" s="132" t="s">
        <v>20</v>
      </c>
      <c r="D117" s="132"/>
      <c r="E117" s="98"/>
      <c r="F117" s="98"/>
      <c r="G117" s="245">
        <v>43699</v>
      </c>
      <c r="H117" s="1">
        <v>2019</v>
      </c>
      <c r="I117" s="75" t="s">
        <v>33</v>
      </c>
      <c r="J117" s="75">
        <v>10</v>
      </c>
      <c r="K117" s="155">
        <v>0.33239887865439299</v>
      </c>
      <c r="L117" s="5" t="s">
        <v>395</v>
      </c>
      <c r="M117" s="5" t="s">
        <v>62</v>
      </c>
      <c r="N117" s="5">
        <v>7.3306407196621987E-2</v>
      </c>
      <c r="O117" s="5">
        <v>0.79247292087387544</v>
      </c>
      <c r="P117" s="5">
        <v>0.76275931705525979</v>
      </c>
      <c r="Q117" s="5">
        <v>3.6847071782632641</v>
      </c>
      <c r="R117" s="5">
        <v>2.9363870020194605</v>
      </c>
      <c r="S117" s="5">
        <v>1.400872039654856</v>
      </c>
      <c r="T117" s="5">
        <v>9.6505048650633363</v>
      </c>
      <c r="U117" s="5">
        <f t="shared" si="10"/>
        <v>133.69096767093765</v>
      </c>
      <c r="V117" s="5" t="s">
        <v>60</v>
      </c>
      <c r="W117" s="5">
        <v>9.2236623631865355E-2</v>
      </c>
      <c r="X117" s="5">
        <v>3.0603520101690578E-2</v>
      </c>
      <c r="Y117" s="5">
        <v>4.5430523874108682E-2</v>
      </c>
      <c r="Z117" s="5" t="s">
        <v>72</v>
      </c>
      <c r="AA117" s="5">
        <v>1.6166059942340924E-2</v>
      </c>
      <c r="AB117" s="5">
        <v>1.4364420731899313E-2</v>
      </c>
      <c r="AC117" s="5" t="s">
        <v>65</v>
      </c>
      <c r="AD117" s="5">
        <v>0.19880114828190487</v>
      </c>
      <c r="AE117" s="5">
        <f t="shared" si="15"/>
        <v>0.19880114828190482</v>
      </c>
      <c r="AF117" s="5" t="s">
        <v>72</v>
      </c>
      <c r="AG117" s="250" t="s">
        <v>395</v>
      </c>
      <c r="AH117" s="250">
        <v>14.40535714285714</v>
      </c>
      <c r="AI117" s="5" t="s">
        <v>69</v>
      </c>
      <c r="AJ117" s="5" t="s">
        <v>65</v>
      </c>
      <c r="AK117" s="5" t="s">
        <v>69</v>
      </c>
      <c r="AL117" s="5" t="s">
        <v>69</v>
      </c>
      <c r="AM117" s="5" t="s">
        <v>126</v>
      </c>
      <c r="AN117" s="5">
        <v>0.61071428571428565</v>
      </c>
      <c r="AO117" s="5" t="s">
        <v>126</v>
      </c>
      <c r="AP117" s="5" t="s">
        <v>69</v>
      </c>
      <c r="AQ117" s="5">
        <v>0.33038194444444441</v>
      </c>
      <c r="AR117" s="5" t="s">
        <v>65</v>
      </c>
      <c r="AS117" s="5" t="s">
        <v>395</v>
      </c>
      <c r="AT117" s="5" t="s">
        <v>395</v>
      </c>
      <c r="AU117" s="5" t="s">
        <v>395</v>
      </c>
      <c r="AV117" s="5" t="s">
        <v>395</v>
      </c>
      <c r="AW117" s="5" t="s">
        <v>395</v>
      </c>
      <c r="AX117" s="5" t="s">
        <v>395</v>
      </c>
      <c r="AY117" s="5" t="s">
        <v>395</v>
      </c>
      <c r="AZ117" s="5" t="s">
        <v>395</v>
      </c>
      <c r="BA117" s="5" t="s">
        <v>395</v>
      </c>
      <c r="BB117" s="5" t="s">
        <v>395</v>
      </c>
      <c r="BC117" s="5" t="s">
        <v>395</v>
      </c>
      <c r="BD117" s="5" t="s">
        <v>395</v>
      </c>
      <c r="BE117" s="5" t="s">
        <v>395</v>
      </c>
      <c r="BF117" s="5" t="s">
        <v>395</v>
      </c>
      <c r="BG117" s="5" t="s">
        <v>395</v>
      </c>
      <c r="BH117" s="5" t="s">
        <v>395</v>
      </c>
      <c r="BI117" s="5" t="s">
        <v>395</v>
      </c>
      <c r="BJ117" s="5" t="s">
        <v>395</v>
      </c>
      <c r="BK117" s="5" t="s">
        <v>395</v>
      </c>
      <c r="BL117" s="5" t="s">
        <v>395</v>
      </c>
      <c r="BM117" s="5" t="s">
        <v>395</v>
      </c>
      <c r="BN117" s="5">
        <v>100</v>
      </c>
      <c r="BO117" s="5" t="s">
        <v>395</v>
      </c>
      <c r="BP117" s="5" t="s">
        <v>395</v>
      </c>
      <c r="BQ117" s="5" t="s">
        <v>395</v>
      </c>
      <c r="BR117" s="5" t="s">
        <v>395</v>
      </c>
      <c r="BS117" s="5" t="s">
        <v>395</v>
      </c>
      <c r="BT117" s="5" t="s">
        <v>395</v>
      </c>
      <c r="BU117" s="5" t="s">
        <v>395</v>
      </c>
      <c r="BV117" s="5" t="s">
        <v>395</v>
      </c>
      <c r="BW117" s="5" t="s">
        <v>395</v>
      </c>
      <c r="BX117" s="5" t="s">
        <v>395</v>
      </c>
      <c r="BY117" s="5" t="s">
        <v>395</v>
      </c>
      <c r="BZ117" s="5" t="s">
        <v>395</v>
      </c>
      <c r="CA117" s="5" t="s">
        <v>395</v>
      </c>
      <c r="CB117" s="5" t="s">
        <v>395</v>
      </c>
      <c r="CC117" s="5" t="s">
        <v>395</v>
      </c>
      <c r="CD117" s="5" t="s">
        <v>395</v>
      </c>
      <c r="CE117" s="5" t="s">
        <v>395</v>
      </c>
      <c r="CF117" s="5" t="s">
        <v>395</v>
      </c>
      <c r="CG117" s="5" t="s">
        <v>395</v>
      </c>
      <c r="CH117" s="5" t="s">
        <v>395</v>
      </c>
      <c r="CI117" s="5" t="s">
        <v>395</v>
      </c>
      <c r="CJ117" s="5" t="s">
        <v>395</v>
      </c>
      <c r="CK117" s="5" t="s">
        <v>395</v>
      </c>
      <c r="CL117" s="5" t="s">
        <v>395</v>
      </c>
      <c r="CM117" s="5" t="s">
        <v>395</v>
      </c>
      <c r="CN117" s="5" t="s">
        <v>395</v>
      </c>
      <c r="CO117" s="5" t="s">
        <v>395</v>
      </c>
      <c r="CP117" s="5" t="s">
        <v>395</v>
      </c>
      <c r="CQ117" s="5" t="s">
        <v>395</v>
      </c>
      <c r="CR117" s="5" t="s">
        <v>395</v>
      </c>
      <c r="CS117" s="5" t="s">
        <v>395</v>
      </c>
      <c r="CT117" s="5" t="s">
        <v>395</v>
      </c>
      <c r="CU117" s="5" t="s">
        <v>395</v>
      </c>
      <c r="CV117" s="5" t="s">
        <v>395</v>
      </c>
      <c r="CW117" s="5" t="s">
        <v>395</v>
      </c>
      <c r="CX117" s="5" t="s">
        <v>395</v>
      </c>
      <c r="CY117" s="252" t="s">
        <v>395</v>
      </c>
    </row>
    <row r="118" spans="1:103" x14ac:dyDescent="0.3">
      <c r="A118" s="98" t="s">
        <v>12</v>
      </c>
      <c r="B118" s="98" t="s">
        <v>12</v>
      </c>
      <c r="C118" s="132" t="s">
        <v>20</v>
      </c>
      <c r="D118" s="132"/>
      <c r="E118" s="98"/>
      <c r="F118" s="98"/>
      <c r="G118" s="245">
        <v>43594</v>
      </c>
      <c r="H118" s="1">
        <v>2019</v>
      </c>
      <c r="I118" s="75" t="s">
        <v>33</v>
      </c>
      <c r="J118" s="75">
        <v>3</v>
      </c>
      <c r="K118" s="155">
        <v>0.28959092750098497</v>
      </c>
      <c r="L118" s="5" t="s">
        <v>395</v>
      </c>
      <c r="M118" s="5">
        <v>6.8211797491871812E-2</v>
      </c>
      <c r="N118" s="5">
        <v>0.40723641430562002</v>
      </c>
      <c r="O118" s="5">
        <v>5.5371760334417095</v>
      </c>
      <c r="P118" s="5">
        <v>4.6130422666047375</v>
      </c>
      <c r="Q118" s="5">
        <v>17.903632141198326</v>
      </c>
      <c r="R118" s="5">
        <v>14.330701346957733</v>
      </c>
      <c r="S118" s="5">
        <v>5.4727171388759865</v>
      </c>
      <c r="T118" s="5">
        <v>48.332717138875985</v>
      </c>
      <c r="U118" s="5">
        <f t="shared" si="10"/>
        <v>754.85228852900696</v>
      </c>
      <c r="V118" s="5" t="s">
        <v>60</v>
      </c>
      <c r="W118" s="5">
        <v>0.30580341605395928</v>
      </c>
      <c r="X118" s="5">
        <v>0.17167469151490153</v>
      </c>
      <c r="Y118" s="5">
        <v>0.38166429989427642</v>
      </c>
      <c r="Z118" s="5">
        <v>2.0801420263099894E-2</v>
      </c>
      <c r="AA118" s="5">
        <v>8.199922519265318E-2</v>
      </c>
      <c r="AB118" s="5">
        <v>0.10623440444118511</v>
      </c>
      <c r="AC118" s="5">
        <v>0.22944728286112401</v>
      </c>
      <c r="AD118" s="5">
        <v>1.2976247402211996</v>
      </c>
      <c r="AE118" s="5">
        <f t="shared" si="15"/>
        <v>1.0473760370969756</v>
      </c>
      <c r="AF118" s="5">
        <v>4.4916542305606646E-3</v>
      </c>
      <c r="AG118" s="250">
        <f>AF118*(5/K118)</f>
        <v>7.7551708358428936E-2</v>
      </c>
      <c r="AH118" s="250">
        <v>3.5734066166367189</v>
      </c>
      <c r="AI118" s="5" t="s">
        <v>69</v>
      </c>
      <c r="AJ118" s="5" t="s">
        <v>65</v>
      </c>
      <c r="AK118" s="5" t="s">
        <v>69</v>
      </c>
      <c r="AL118" s="5" t="s">
        <v>69</v>
      </c>
      <c r="AM118" s="5" t="s">
        <v>126</v>
      </c>
      <c r="AN118" s="5">
        <v>1.0842405665363068</v>
      </c>
      <c r="AO118" s="5">
        <v>1.2067857520346685</v>
      </c>
      <c r="AP118" s="5" t="s">
        <v>69</v>
      </c>
      <c r="AQ118" s="5">
        <v>0.71031955748159092</v>
      </c>
      <c r="AR118" s="5" t="s">
        <v>65</v>
      </c>
      <c r="AS118" s="5" t="s">
        <v>395</v>
      </c>
      <c r="AT118" s="5" t="s">
        <v>395</v>
      </c>
      <c r="AU118" s="5" t="s">
        <v>395</v>
      </c>
      <c r="AV118" s="5" t="s">
        <v>395</v>
      </c>
      <c r="AW118" s="5" t="s">
        <v>395</v>
      </c>
      <c r="AX118" s="5" t="s">
        <v>395</v>
      </c>
      <c r="AY118" s="5" t="s">
        <v>395</v>
      </c>
      <c r="AZ118" s="5" t="s">
        <v>395</v>
      </c>
      <c r="BA118" s="5" t="s">
        <v>395</v>
      </c>
      <c r="BB118" s="5" t="s">
        <v>395</v>
      </c>
      <c r="BC118" s="5" t="s">
        <v>395</v>
      </c>
      <c r="BD118" s="5" t="s">
        <v>395</v>
      </c>
      <c r="BE118" s="5" t="s">
        <v>395</v>
      </c>
      <c r="BF118" s="5" t="s">
        <v>395</v>
      </c>
      <c r="BG118" s="5" t="s">
        <v>395</v>
      </c>
      <c r="BH118" s="5" t="s">
        <v>395</v>
      </c>
      <c r="BI118" s="5" t="s">
        <v>395</v>
      </c>
      <c r="BJ118" s="5" t="s">
        <v>395</v>
      </c>
      <c r="BK118" s="5" t="s">
        <v>395</v>
      </c>
      <c r="BL118" s="5" t="s">
        <v>395</v>
      </c>
      <c r="BM118" s="5" t="s">
        <v>395</v>
      </c>
      <c r="BN118" s="5" t="s">
        <v>13</v>
      </c>
      <c r="BO118" s="5" t="s">
        <v>395</v>
      </c>
      <c r="BP118" s="5" t="s">
        <v>395</v>
      </c>
      <c r="BQ118" s="5" t="s">
        <v>395</v>
      </c>
      <c r="BR118" s="5" t="s">
        <v>395</v>
      </c>
      <c r="BS118" s="5" t="s">
        <v>395</v>
      </c>
      <c r="BT118" s="5" t="s">
        <v>395</v>
      </c>
      <c r="BU118" s="5" t="s">
        <v>395</v>
      </c>
      <c r="BV118" s="5" t="s">
        <v>395</v>
      </c>
      <c r="BW118" s="5" t="s">
        <v>395</v>
      </c>
      <c r="BX118" s="5" t="s">
        <v>395</v>
      </c>
      <c r="BY118" s="5" t="s">
        <v>395</v>
      </c>
      <c r="BZ118" s="5" t="s">
        <v>395</v>
      </c>
      <c r="CA118" s="5" t="s">
        <v>395</v>
      </c>
      <c r="CB118" s="5" t="s">
        <v>395</v>
      </c>
      <c r="CC118" s="5" t="s">
        <v>395</v>
      </c>
      <c r="CD118" s="5" t="s">
        <v>395</v>
      </c>
      <c r="CE118" s="5" t="s">
        <v>395</v>
      </c>
      <c r="CF118" s="5" t="s">
        <v>395</v>
      </c>
      <c r="CG118" s="5" t="s">
        <v>395</v>
      </c>
      <c r="CH118" s="5" t="s">
        <v>395</v>
      </c>
      <c r="CI118" s="5" t="s">
        <v>395</v>
      </c>
      <c r="CJ118" s="5" t="s">
        <v>395</v>
      </c>
      <c r="CK118" s="5" t="s">
        <v>395</v>
      </c>
      <c r="CL118" s="5" t="s">
        <v>395</v>
      </c>
      <c r="CM118" s="5" t="s">
        <v>395</v>
      </c>
      <c r="CN118" s="5" t="s">
        <v>395</v>
      </c>
      <c r="CO118" s="5" t="s">
        <v>395</v>
      </c>
      <c r="CP118" s="5" t="s">
        <v>395</v>
      </c>
      <c r="CQ118" s="5" t="s">
        <v>395</v>
      </c>
      <c r="CR118" s="5" t="s">
        <v>395</v>
      </c>
      <c r="CS118" s="5" t="s">
        <v>395</v>
      </c>
      <c r="CT118" s="5" t="s">
        <v>395</v>
      </c>
      <c r="CU118" s="5" t="s">
        <v>395</v>
      </c>
      <c r="CV118" s="5" t="s">
        <v>395</v>
      </c>
      <c r="CW118" s="5" t="s">
        <v>395</v>
      </c>
      <c r="CX118" s="5" t="s">
        <v>395</v>
      </c>
      <c r="CY118" s="252" t="s">
        <v>395</v>
      </c>
    </row>
    <row r="119" spans="1:103" x14ac:dyDescent="0.3">
      <c r="A119" s="98" t="s">
        <v>14</v>
      </c>
      <c r="B119" s="98" t="s">
        <v>14</v>
      </c>
      <c r="C119" s="132" t="s">
        <v>20</v>
      </c>
      <c r="D119" s="132"/>
      <c r="E119" s="98"/>
      <c r="F119" s="98"/>
      <c r="G119" s="245">
        <v>43699</v>
      </c>
      <c r="H119" s="1">
        <v>2019</v>
      </c>
      <c r="I119" s="75" t="s">
        <v>33</v>
      </c>
      <c r="J119" s="75">
        <v>1</v>
      </c>
      <c r="K119" s="155">
        <v>0.60718057022174499</v>
      </c>
      <c r="L119" s="5" t="s">
        <v>395</v>
      </c>
      <c r="M119" s="5" t="s">
        <v>70</v>
      </c>
      <c r="N119" s="5">
        <v>5.1827626010003847E-2</v>
      </c>
      <c r="O119" s="5">
        <v>0.38137745286648705</v>
      </c>
      <c r="P119" s="5">
        <v>0.69146787225856099</v>
      </c>
      <c r="Q119" s="5">
        <v>2.4256156213928435</v>
      </c>
      <c r="R119" s="5">
        <v>1.5560792612543284</v>
      </c>
      <c r="S119" s="5">
        <v>0.81116775682954967</v>
      </c>
      <c r="T119" s="5">
        <v>5.9175355906117737</v>
      </c>
      <c r="U119" s="5">
        <f t="shared" si="10"/>
        <v>43.03553155896136</v>
      </c>
      <c r="V119" s="5" t="s">
        <v>60</v>
      </c>
      <c r="W119" s="5">
        <v>6.8904801462798551E-2</v>
      </c>
      <c r="X119" s="5">
        <v>2.4649502925693324E-2</v>
      </c>
      <c r="Y119" s="5">
        <v>7.4621003085650825E-2</v>
      </c>
      <c r="Z119" s="5" t="s">
        <v>72</v>
      </c>
      <c r="AA119" s="5" t="s">
        <v>56</v>
      </c>
      <c r="AB119" s="5" t="s">
        <v>60</v>
      </c>
      <c r="AC119" s="5" t="s">
        <v>65</v>
      </c>
      <c r="AD119" s="5">
        <v>0.16817530747414272</v>
      </c>
      <c r="AE119" s="5">
        <f t="shared" si="15"/>
        <v>0.16817530747414269</v>
      </c>
      <c r="AF119" s="5" t="s">
        <v>66</v>
      </c>
      <c r="AG119" s="250" t="s">
        <v>395</v>
      </c>
      <c r="AH119" s="250">
        <v>0.72868439971243715</v>
      </c>
      <c r="AI119" s="5" t="s">
        <v>69</v>
      </c>
      <c r="AJ119" s="5" t="s">
        <v>65</v>
      </c>
      <c r="AK119" s="5" t="s">
        <v>69</v>
      </c>
      <c r="AL119" s="5" t="s">
        <v>69</v>
      </c>
      <c r="AM119" s="5" t="s">
        <v>126</v>
      </c>
      <c r="AN119" s="5" t="s">
        <v>69</v>
      </c>
      <c r="AO119" s="5" t="s">
        <v>126</v>
      </c>
      <c r="AP119" s="5" t="s">
        <v>69</v>
      </c>
      <c r="AQ119" s="5" t="s">
        <v>69</v>
      </c>
      <c r="AR119" s="5" t="s">
        <v>65</v>
      </c>
      <c r="AS119" s="5" t="s">
        <v>395</v>
      </c>
      <c r="AT119" s="5" t="s">
        <v>395</v>
      </c>
      <c r="AU119" s="5" t="s">
        <v>395</v>
      </c>
      <c r="AV119" s="5" t="s">
        <v>395</v>
      </c>
      <c r="AW119" s="5" t="s">
        <v>395</v>
      </c>
      <c r="AX119" s="5" t="s">
        <v>395</v>
      </c>
      <c r="AY119" s="5" t="s">
        <v>395</v>
      </c>
      <c r="AZ119" s="5" t="s">
        <v>395</v>
      </c>
      <c r="BA119" s="5" t="s">
        <v>395</v>
      </c>
      <c r="BB119" s="5" t="s">
        <v>395</v>
      </c>
      <c r="BC119" s="5" t="s">
        <v>395</v>
      </c>
      <c r="BD119" s="5" t="s">
        <v>395</v>
      </c>
      <c r="BE119" s="5" t="s">
        <v>395</v>
      </c>
      <c r="BF119" s="5" t="s">
        <v>395</v>
      </c>
      <c r="BG119" s="5" t="s">
        <v>395</v>
      </c>
      <c r="BH119" s="5" t="s">
        <v>395</v>
      </c>
      <c r="BI119" s="5" t="s">
        <v>395</v>
      </c>
      <c r="BJ119" s="5" t="s">
        <v>395</v>
      </c>
      <c r="BK119" s="5" t="s">
        <v>395</v>
      </c>
      <c r="BL119" s="5" t="s">
        <v>395</v>
      </c>
      <c r="BM119" s="5" t="s">
        <v>395</v>
      </c>
      <c r="BN119" s="5" t="s">
        <v>13</v>
      </c>
      <c r="BO119" s="5" t="s">
        <v>395</v>
      </c>
      <c r="BP119" s="5" t="s">
        <v>395</v>
      </c>
      <c r="BQ119" s="5" t="s">
        <v>395</v>
      </c>
      <c r="BR119" s="5" t="s">
        <v>395</v>
      </c>
      <c r="BS119" s="5" t="s">
        <v>395</v>
      </c>
      <c r="BT119" s="5" t="s">
        <v>395</v>
      </c>
      <c r="BU119" s="5" t="s">
        <v>395</v>
      </c>
      <c r="BV119" s="5" t="s">
        <v>395</v>
      </c>
      <c r="BW119" s="5" t="s">
        <v>395</v>
      </c>
      <c r="BX119" s="5" t="s">
        <v>395</v>
      </c>
      <c r="BY119" s="5" t="s">
        <v>395</v>
      </c>
      <c r="BZ119" s="5" t="s">
        <v>395</v>
      </c>
      <c r="CA119" s="5" t="s">
        <v>395</v>
      </c>
      <c r="CB119" s="5" t="s">
        <v>395</v>
      </c>
      <c r="CC119" s="5" t="s">
        <v>395</v>
      </c>
      <c r="CD119" s="5" t="s">
        <v>395</v>
      </c>
      <c r="CE119" s="5" t="s">
        <v>395</v>
      </c>
      <c r="CF119" s="5" t="s">
        <v>395</v>
      </c>
      <c r="CG119" s="5" t="s">
        <v>395</v>
      </c>
      <c r="CH119" s="5" t="s">
        <v>395</v>
      </c>
      <c r="CI119" s="5" t="s">
        <v>395</v>
      </c>
      <c r="CJ119" s="5" t="s">
        <v>395</v>
      </c>
      <c r="CK119" s="5" t="s">
        <v>395</v>
      </c>
      <c r="CL119" s="5" t="s">
        <v>395</v>
      </c>
      <c r="CM119" s="5" t="s">
        <v>395</v>
      </c>
      <c r="CN119" s="5" t="s">
        <v>395</v>
      </c>
      <c r="CO119" s="5" t="s">
        <v>395</v>
      </c>
      <c r="CP119" s="5" t="s">
        <v>395</v>
      </c>
      <c r="CQ119" s="5" t="s">
        <v>395</v>
      </c>
      <c r="CR119" s="5" t="s">
        <v>395</v>
      </c>
      <c r="CS119" s="5" t="s">
        <v>395</v>
      </c>
      <c r="CT119" s="5" t="s">
        <v>395</v>
      </c>
      <c r="CU119" s="5" t="s">
        <v>395</v>
      </c>
      <c r="CV119" s="5" t="s">
        <v>395</v>
      </c>
      <c r="CW119" s="5" t="s">
        <v>395</v>
      </c>
      <c r="CX119" s="5" t="s">
        <v>395</v>
      </c>
      <c r="CY119" s="252" t="s">
        <v>395</v>
      </c>
    </row>
    <row r="120" spans="1:103" x14ac:dyDescent="0.3">
      <c r="A120" s="98" t="s">
        <v>15</v>
      </c>
      <c r="B120" s="98" t="s">
        <v>15</v>
      </c>
      <c r="C120" s="132" t="s">
        <v>20</v>
      </c>
      <c r="D120" s="132"/>
      <c r="E120" s="98"/>
      <c r="F120" s="98"/>
      <c r="G120" s="245">
        <v>43696</v>
      </c>
      <c r="H120" s="1">
        <v>2019</v>
      </c>
      <c r="I120" s="75" t="s">
        <v>33</v>
      </c>
      <c r="J120" s="75">
        <v>10</v>
      </c>
      <c r="K120" s="155">
        <v>0.364004044489384</v>
      </c>
      <c r="L120" s="5" t="s">
        <v>395</v>
      </c>
      <c r="M120" s="5" t="s">
        <v>62</v>
      </c>
      <c r="N120" s="5">
        <v>0.11100037965072133</v>
      </c>
      <c r="O120" s="5">
        <v>0.43751898253606686</v>
      </c>
      <c r="P120" s="5">
        <v>0.40260060744115422</v>
      </c>
      <c r="Q120" s="5">
        <v>1.7092444950645409</v>
      </c>
      <c r="R120" s="5">
        <v>1.428246013667426</v>
      </c>
      <c r="S120" s="5">
        <v>0.69477031131359157</v>
      </c>
      <c r="T120" s="5">
        <v>4.783380789673501</v>
      </c>
      <c r="U120" s="5">
        <f t="shared" si="10"/>
        <v>60.174883336496968</v>
      </c>
      <c r="V120" s="5" t="s">
        <v>60</v>
      </c>
      <c r="W120" s="5">
        <v>4.2481454957762628E-2</v>
      </c>
      <c r="X120" s="5">
        <v>1.7300197545635828E-2</v>
      </c>
      <c r="Y120" s="5">
        <v>3.2159808810035738E-2</v>
      </c>
      <c r="Z120" s="5" t="s">
        <v>72</v>
      </c>
      <c r="AA120" s="5" t="s">
        <v>56</v>
      </c>
      <c r="AB120" s="5" t="s">
        <v>60</v>
      </c>
      <c r="AC120" s="5">
        <v>0.39531131359149585</v>
      </c>
      <c r="AD120" s="5">
        <v>0.48725277490493002</v>
      </c>
      <c r="AE120" s="5">
        <f t="shared" si="15"/>
        <v>9.1941461313434197E-2</v>
      </c>
      <c r="AF120" s="5" t="s">
        <v>72</v>
      </c>
      <c r="AG120" s="250" t="s">
        <v>395</v>
      </c>
      <c r="AH120" s="250">
        <v>3.198081790329026</v>
      </c>
      <c r="AI120" s="5" t="s">
        <v>69</v>
      </c>
      <c r="AJ120" s="5" t="s">
        <v>65</v>
      </c>
      <c r="AK120" s="5" t="s">
        <v>69</v>
      </c>
      <c r="AL120" s="5" t="s">
        <v>69</v>
      </c>
      <c r="AM120" s="5" t="s">
        <v>126</v>
      </c>
      <c r="AN120" s="5">
        <v>0.40202477687491672</v>
      </c>
      <c r="AO120" s="5" t="s">
        <v>126</v>
      </c>
      <c r="AP120" s="5" t="s">
        <v>69</v>
      </c>
      <c r="AQ120" s="5">
        <v>0.31441765463345323</v>
      </c>
      <c r="AR120" s="5" t="s">
        <v>65</v>
      </c>
      <c r="AS120" s="5" t="s">
        <v>395</v>
      </c>
      <c r="AT120" s="5" t="s">
        <v>395</v>
      </c>
      <c r="AU120" s="5" t="s">
        <v>395</v>
      </c>
      <c r="AV120" s="5" t="s">
        <v>395</v>
      </c>
      <c r="AW120" s="5" t="s">
        <v>395</v>
      </c>
      <c r="AX120" s="5" t="s">
        <v>395</v>
      </c>
      <c r="AY120" s="5" t="s">
        <v>395</v>
      </c>
      <c r="AZ120" s="5" t="s">
        <v>395</v>
      </c>
      <c r="BA120" s="5" t="s">
        <v>395</v>
      </c>
      <c r="BB120" s="5" t="s">
        <v>395</v>
      </c>
      <c r="BC120" s="5" t="s">
        <v>395</v>
      </c>
      <c r="BD120" s="5" t="s">
        <v>395</v>
      </c>
      <c r="BE120" s="5" t="s">
        <v>395</v>
      </c>
      <c r="BF120" s="5" t="s">
        <v>395</v>
      </c>
      <c r="BG120" s="5" t="s">
        <v>395</v>
      </c>
      <c r="BH120" s="5" t="s">
        <v>395</v>
      </c>
      <c r="BI120" s="5" t="s">
        <v>395</v>
      </c>
      <c r="BJ120" s="5" t="s">
        <v>395</v>
      </c>
      <c r="BK120" s="5" t="s">
        <v>395</v>
      </c>
      <c r="BL120" s="5" t="s">
        <v>395</v>
      </c>
      <c r="BM120" s="5" t="s">
        <v>395</v>
      </c>
      <c r="BN120" s="5">
        <v>240</v>
      </c>
      <c r="BO120" s="5" t="s">
        <v>395</v>
      </c>
      <c r="BP120" s="5" t="s">
        <v>395</v>
      </c>
      <c r="BQ120" s="5" t="s">
        <v>395</v>
      </c>
      <c r="BR120" s="5" t="s">
        <v>395</v>
      </c>
      <c r="BS120" s="5" t="s">
        <v>395</v>
      </c>
      <c r="BT120" s="5" t="s">
        <v>395</v>
      </c>
      <c r="BU120" s="5" t="s">
        <v>395</v>
      </c>
      <c r="BV120" s="5" t="s">
        <v>395</v>
      </c>
      <c r="BW120" s="5" t="s">
        <v>395</v>
      </c>
      <c r="BX120" s="5" t="s">
        <v>395</v>
      </c>
      <c r="BY120" s="5" t="s">
        <v>395</v>
      </c>
      <c r="BZ120" s="5" t="s">
        <v>395</v>
      </c>
      <c r="CA120" s="5" t="s">
        <v>395</v>
      </c>
      <c r="CB120" s="5" t="s">
        <v>395</v>
      </c>
      <c r="CC120" s="5" t="s">
        <v>395</v>
      </c>
      <c r="CD120" s="5" t="s">
        <v>395</v>
      </c>
      <c r="CE120" s="5" t="s">
        <v>395</v>
      </c>
      <c r="CF120" s="5" t="s">
        <v>395</v>
      </c>
      <c r="CG120" s="5" t="s">
        <v>395</v>
      </c>
      <c r="CH120" s="5" t="s">
        <v>395</v>
      </c>
      <c r="CI120" s="5" t="s">
        <v>395</v>
      </c>
      <c r="CJ120" s="5" t="s">
        <v>395</v>
      </c>
      <c r="CK120" s="5" t="s">
        <v>395</v>
      </c>
      <c r="CL120" s="5" t="s">
        <v>395</v>
      </c>
      <c r="CM120" s="5" t="s">
        <v>395</v>
      </c>
      <c r="CN120" s="5" t="s">
        <v>395</v>
      </c>
      <c r="CO120" s="5" t="s">
        <v>395</v>
      </c>
      <c r="CP120" s="5" t="s">
        <v>395</v>
      </c>
      <c r="CQ120" s="5" t="s">
        <v>395</v>
      </c>
      <c r="CR120" s="5" t="s">
        <v>395</v>
      </c>
      <c r="CS120" s="5" t="s">
        <v>395</v>
      </c>
      <c r="CT120" s="5" t="s">
        <v>395</v>
      </c>
      <c r="CU120" s="5" t="s">
        <v>395</v>
      </c>
      <c r="CV120" s="5" t="s">
        <v>395</v>
      </c>
      <c r="CW120" s="5" t="s">
        <v>395</v>
      </c>
      <c r="CX120" s="5" t="s">
        <v>395</v>
      </c>
      <c r="CY120" s="252" t="s">
        <v>395</v>
      </c>
    </row>
    <row r="121" spans="1:103" x14ac:dyDescent="0.3">
      <c r="A121" s="98" t="s">
        <v>80</v>
      </c>
      <c r="B121" s="98" t="s">
        <v>80</v>
      </c>
      <c r="C121" s="132" t="s">
        <v>20</v>
      </c>
      <c r="D121" s="132"/>
      <c r="E121" s="98"/>
      <c r="F121" s="98"/>
      <c r="G121" s="245">
        <v>43679</v>
      </c>
      <c r="H121" s="1">
        <v>2019</v>
      </c>
      <c r="I121" s="75" t="s">
        <v>33</v>
      </c>
      <c r="J121" s="75">
        <v>7</v>
      </c>
      <c r="K121" s="155">
        <v>0.42216146670956894</v>
      </c>
      <c r="L121" s="5" t="s">
        <v>395</v>
      </c>
      <c r="M121" s="5" t="s">
        <v>62</v>
      </c>
      <c r="N121" s="5">
        <v>2.8964904486894712E-2</v>
      </c>
      <c r="O121" s="5">
        <v>0.28256774766770326</v>
      </c>
      <c r="P121" s="5">
        <v>0.29115059973345175</v>
      </c>
      <c r="Q121" s="5">
        <v>1.185810750777432</v>
      </c>
      <c r="R121" s="5">
        <v>0.92812083518436239</v>
      </c>
      <c r="S121" s="5">
        <v>0.37695246557085743</v>
      </c>
      <c r="T121" s="5">
        <v>3.0935673034207016</v>
      </c>
      <c r="U121" s="5">
        <f t="shared" si="10"/>
        <v>33.191289644812684</v>
      </c>
      <c r="V121" s="5" t="s">
        <v>60</v>
      </c>
      <c r="W121" s="5">
        <v>8.7246010794448769E-2</v>
      </c>
      <c r="X121" s="5">
        <v>3.0655831983287474E-2</v>
      </c>
      <c r="Y121" s="5">
        <v>5.970175928607574E-2</v>
      </c>
      <c r="Z121" s="5" t="s">
        <v>72</v>
      </c>
      <c r="AA121" s="5" t="s">
        <v>56</v>
      </c>
      <c r="AB121" s="5" t="s">
        <v>60</v>
      </c>
      <c r="AC121" s="5" t="s">
        <v>65</v>
      </c>
      <c r="AD121" s="5">
        <v>0.17760360206381198</v>
      </c>
      <c r="AE121" s="5">
        <f t="shared" si="15"/>
        <v>0.17760360206381198</v>
      </c>
      <c r="AF121" s="5" t="s">
        <v>72</v>
      </c>
      <c r="AG121" s="250" t="s">
        <v>395</v>
      </c>
      <c r="AH121" s="250">
        <v>0.22399134332972637</v>
      </c>
      <c r="AI121" s="5" t="s">
        <v>69</v>
      </c>
      <c r="AJ121" s="5" t="s">
        <v>65</v>
      </c>
      <c r="AK121" s="5" t="s">
        <v>69</v>
      </c>
      <c r="AL121" s="5" t="s">
        <v>69</v>
      </c>
      <c r="AM121" s="5" t="s">
        <v>126</v>
      </c>
      <c r="AN121" s="5" t="s">
        <v>69</v>
      </c>
      <c r="AO121" s="5" t="s">
        <v>126</v>
      </c>
      <c r="AP121" s="5" t="s">
        <v>69</v>
      </c>
      <c r="AQ121" s="5" t="s">
        <v>69</v>
      </c>
      <c r="AR121" s="5" t="s">
        <v>65</v>
      </c>
      <c r="AS121" s="5" t="s">
        <v>395</v>
      </c>
      <c r="AT121" s="5" t="s">
        <v>395</v>
      </c>
      <c r="AU121" s="5" t="s">
        <v>395</v>
      </c>
      <c r="AV121" s="5" t="s">
        <v>395</v>
      </c>
      <c r="AW121" s="5" t="s">
        <v>395</v>
      </c>
      <c r="AX121" s="5" t="s">
        <v>395</v>
      </c>
      <c r="AY121" s="5" t="s">
        <v>395</v>
      </c>
      <c r="AZ121" s="5" t="s">
        <v>395</v>
      </c>
      <c r="BA121" s="5" t="s">
        <v>395</v>
      </c>
      <c r="BB121" s="5" t="s">
        <v>395</v>
      </c>
      <c r="BC121" s="5" t="s">
        <v>395</v>
      </c>
      <c r="BD121" s="5" t="s">
        <v>395</v>
      </c>
      <c r="BE121" s="5" t="s">
        <v>395</v>
      </c>
      <c r="BF121" s="5" t="s">
        <v>395</v>
      </c>
      <c r="BG121" s="5" t="s">
        <v>395</v>
      </c>
      <c r="BH121" s="5" t="s">
        <v>395</v>
      </c>
      <c r="BI121" s="5" t="s">
        <v>395</v>
      </c>
      <c r="BJ121" s="5" t="s">
        <v>395</v>
      </c>
      <c r="BK121" s="5" t="s">
        <v>395</v>
      </c>
      <c r="BL121" s="5" t="s">
        <v>395</v>
      </c>
      <c r="BM121" s="5" t="s">
        <v>395</v>
      </c>
      <c r="BN121" s="5">
        <v>230</v>
      </c>
      <c r="BO121" s="5" t="s">
        <v>395</v>
      </c>
      <c r="BP121" s="5" t="s">
        <v>395</v>
      </c>
      <c r="BQ121" s="5" t="s">
        <v>395</v>
      </c>
      <c r="BR121" s="5" t="s">
        <v>395</v>
      </c>
      <c r="BS121" s="5" t="s">
        <v>395</v>
      </c>
      <c r="BT121" s="5" t="s">
        <v>395</v>
      </c>
      <c r="BU121" s="5" t="s">
        <v>395</v>
      </c>
      <c r="BV121" s="5" t="s">
        <v>395</v>
      </c>
      <c r="BW121" s="5" t="s">
        <v>395</v>
      </c>
      <c r="BX121" s="5" t="s">
        <v>395</v>
      </c>
      <c r="BY121" s="5" t="s">
        <v>395</v>
      </c>
      <c r="BZ121" s="5" t="s">
        <v>395</v>
      </c>
      <c r="CA121" s="5" t="s">
        <v>395</v>
      </c>
      <c r="CB121" s="5" t="s">
        <v>395</v>
      </c>
      <c r="CC121" s="5" t="s">
        <v>395</v>
      </c>
      <c r="CD121" s="5" t="s">
        <v>395</v>
      </c>
      <c r="CE121" s="5" t="s">
        <v>395</v>
      </c>
      <c r="CF121" s="5" t="s">
        <v>395</v>
      </c>
      <c r="CG121" s="5" t="s">
        <v>395</v>
      </c>
      <c r="CH121" s="5" t="s">
        <v>395</v>
      </c>
      <c r="CI121" s="5" t="s">
        <v>395</v>
      </c>
      <c r="CJ121" s="5" t="s">
        <v>395</v>
      </c>
      <c r="CK121" s="5" t="s">
        <v>395</v>
      </c>
      <c r="CL121" s="5" t="s">
        <v>395</v>
      </c>
      <c r="CM121" s="5" t="s">
        <v>395</v>
      </c>
      <c r="CN121" s="5" t="s">
        <v>395</v>
      </c>
      <c r="CO121" s="5" t="s">
        <v>395</v>
      </c>
      <c r="CP121" s="5" t="s">
        <v>395</v>
      </c>
      <c r="CQ121" s="5" t="s">
        <v>395</v>
      </c>
      <c r="CR121" s="5" t="s">
        <v>395</v>
      </c>
      <c r="CS121" s="5" t="s">
        <v>395</v>
      </c>
      <c r="CT121" s="5" t="s">
        <v>395</v>
      </c>
      <c r="CU121" s="5" t="s">
        <v>395</v>
      </c>
      <c r="CV121" s="5" t="s">
        <v>395</v>
      </c>
      <c r="CW121" s="5" t="s">
        <v>395</v>
      </c>
      <c r="CX121" s="5" t="s">
        <v>395</v>
      </c>
      <c r="CY121" s="252" t="s">
        <v>395</v>
      </c>
    </row>
    <row r="122" spans="1:103" x14ac:dyDescent="0.3">
      <c r="A122" s="98" t="s">
        <v>16</v>
      </c>
      <c r="B122" s="98" t="s">
        <v>16</v>
      </c>
      <c r="C122" s="132" t="s">
        <v>20</v>
      </c>
      <c r="D122" s="132"/>
      <c r="E122" s="98"/>
      <c r="F122" s="98"/>
      <c r="G122" s="245">
        <v>43696</v>
      </c>
      <c r="H122" s="1">
        <v>2019</v>
      </c>
      <c r="I122" s="75" t="s">
        <v>33</v>
      </c>
      <c r="J122" s="75">
        <v>10</v>
      </c>
      <c r="K122" s="155">
        <v>0.46716787623309808</v>
      </c>
      <c r="L122" s="5" t="s">
        <v>395</v>
      </c>
      <c r="M122" s="5" t="s">
        <v>62</v>
      </c>
      <c r="N122" s="5" t="s">
        <v>56</v>
      </c>
      <c r="O122" s="5">
        <v>7.8970289364173038E-2</v>
      </c>
      <c r="P122" s="5">
        <v>9.7435401141972314E-2</v>
      </c>
      <c r="Q122" s="5">
        <v>0.2798799961289074</v>
      </c>
      <c r="R122" s="5">
        <v>0.25675021774895962</v>
      </c>
      <c r="S122" s="5">
        <v>0.11981999419336108</v>
      </c>
      <c r="T122" s="5">
        <v>0.83285589857737352</v>
      </c>
      <c r="U122" s="5">
        <f t="shared" si="10"/>
        <v>7.8710516588308366</v>
      </c>
      <c r="V122" s="5" t="s">
        <v>60</v>
      </c>
      <c r="W122" s="5">
        <v>2.3736099647809625E-2</v>
      </c>
      <c r="X122" s="5" t="s">
        <v>60</v>
      </c>
      <c r="Y122" s="5">
        <v>2.733877676890157E-2</v>
      </c>
      <c r="Z122" s="5" t="s">
        <v>72</v>
      </c>
      <c r="AA122" s="5" t="s">
        <v>56</v>
      </c>
      <c r="AB122" s="5" t="s">
        <v>60</v>
      </c>
      <c r="AC122" s="5">
        <v>0.28089615794057871</v>
      </c>
      <c r="AD122" s="5">
        <v>0.33197103435728992</v>
      </c>
      <c r="AE122" s="5">
        <f t="shared" si="15"/>
        <v>5.1074876416711198E-2</v>
      </c>
      <c r="AF122" s="5" t="s">
        <v>72</v>
      </c>
      <c r="AG122" s="250" t="s">
        <v>395</v>
      </c>
      <c r="AH122" s="250" t="s">
        <v>65</v>
      </c>
      <c r="AI122" s="5" t="s">
        <v>69</v>
      </c>
      <c r="AJ122" s="5" t="s">
        <v>65</v>
      </c>
      <c r="AK122" s="5" t="s">
        <v>69</v>
      </c>
      <c r="AL122" s="5" t="s">
        <v>69</v>
      </c>
      <c r="AM122" s="5" t="s">
        <v>126</v>
      </c>
      <c r="AN122" s="5" t="s">
        <v>69</v>
      </c>
      <c r="AO122" s="5" t="s">
        <v>126</v>
      </c>
      <c r="AP122" s="5" t="s">
        <v>69</v>
      </c>
      <c r="AQ122" s="5" t="s">
        <v>69</v>
      </c>
      <c r="AR122" s="5" t="s">
        <v>65</v>
      </c>
      <c r="AS122" s="5" t="s">
        <v>395</v>
      </c>
      <c r="AT122" s="5" t="s">
        <v>395</v>
      </c>
      <c r="AU122" s="5" t="s">
        <v>395</v>
      </c>
      <c r="AV122" s="5" t="s">
        <v>395</v>
      </c>
      <c r="AW122" s="5" t="s">
        <v>395</v>
      </c>
      <c r="AX122" s="5" t="s">
        <v>395</v>
      </c>
      <c r="AY122" s="5" t="s">
        <v>395</v>
      </c>
      <c r="AZ122" s="5" t="s">
        <v>395</v>
      </c>
      <c r="BA122" s="5" t="s">
        <v>395</v>
      </c>
      <c r="BB122" s="5" t="s">
        <v>395</v>
      </c>
      <c r="BC122" s="5" t="s">
        <v>395</v>
      </c>
      <c r="BD122" s="5" t="s">
        <v>395</v>
      </c>
      <c r="BE122" s="5" t="s">
        <v>395</v>
      </c>
      <c r="BF122" s="5" t="s">
        <v>395</v>
      </c>
      <c r="BG122" s="5" t="s">
        <v>395</v>
      </c>
      <c r="BH122" s="5" t="s">
        <v>395</v>
      </c>
      <c r="BI122" s="5" t="s">
        <v>395</v>
      </c>
      <c r="BJ122" s="5" t="s">
        <v>395</v>
      </c>
      <c r="BK122" s="5" t="s">
        <v>395</v>
      </c>
      <c r="BL122" s="5" t="s">
        <v>395</v>
      </c>
      <c r="BM122" s="5" t="s">
        <v>395</v>
      </c>
      <c r="BN122" s="5">
        <v>310</v>
      </c>
      <c r="BO122" s="5" t="s">
        <v>395</v>
      </c>
      <c r="BP122" s="5" t="s">
        <v>395</v>
      </c>
      <c r="BQ122" s="5" t="s">
        <v>395</v>
      </c>
      <c r="BR122" s="5" t="s">
        <v>395</v>
      </c>
      <c r="BS122" s="5" t="s">
        <v>395</v>
      </c>
      <c r="BT122" s="5" t="s">
        <v>395</v>
      </c>
      <c r="BU122" s="5" t="s">
        <v>395</v>
      </c>
      <c r="BV122" s="5" t="s">
        <v>395</v>
      </c>
      <c r="BW122" s="5" t="s">
        <v>395</v>
      </c>
      <c r="BX122" s="5" t="s">
        <v>395</v>
      </c>
      <c r="BY122" s="5" t="s">
        <v>395</v>
      </c>
      <c r="BZ122" s="5" t="s">
        <v>395</v>
      </c>
      <c r="CA122" s="5" t="s">
        <v>395</v>
      </c>
      <c r="CB122" s="5" t="s">
        <v>395</v>
      </c>
      <c r="CC122" s="5" t="s">
        <v>395</v>
      </c>
      <c r="CD122" s="5" t="s">
        <v>395</v>
      </c>
      <c r="CE122" s="5" t="s">
        <v>395</v>
      </c>
      <c r="CF122" s="5" t="s">
        <v>395</v>
      </c>
      <c r="CG122" s="5" t="s">
        <v>395</v>
      </c>
      <c r="CH122" s="5" t="s">
        <v>395</v>
      </c>
      <c r="CI122" s="5" t="s">
        <v>395</v>
      </c>
      <c r="CJ122" s="5" t="s">
        <v>395</v>
      </c>
      <c r="CK122" s="5" t="s">
        <v>395</v>
      </c>
      <c r="CL122" s="5" t="s">
        <v>395</v>
      </c>
      <c r="CM122" s="5" t="s">
        <v>395</v>
      </c>
      <c r="CN122" s="5" t="s">
        <v>395</v>
      </c>
      <c r="CO122" s="5" t="s">
        <v>395</v>
      </c>
      <c r="CP122" s="5" t="s">
        <v>395</v>
      </c>
      <c r="CQ122" s="5" t="s">
        <v>395</v>
      </c>
      <c r="CR122" s="5" t="s">
        <v>395</v>
      </c>
      <c r="CS122" s="5" t="s">
        <v>395</v>
      </c>
      <c r="CT122" s="5" t="s">
        <v>395</v>
      </c>
      <c r="CU122" s="5" t="s">
        <v>395</v>
      </c>
      <c r="CV122" s="5" t="s">
        <v>395</v>
      </c>
      <c r="CW122" s="5" t="s">
        <v>395</v>
      </c>
      <c r="CX122" s="5" t="s">
        <v>395</v>
      </c>
      <c r="CY122" s="252" t="s">
        <v>395</v>
      </c>
    </row>
    <row r="123" spans="1:103" x14ac:dyDescent="0.3">
      <c r="A123" s="98" t="s">
        <v>32</v>
      </c>
      <c r="B123" s="98" t="s">
        <v>32</v>
      </c>
      <c r="C123" s="132" t="s">
        <v>31</v>
      </c>
      <c r="D123" s="132"/>
      <c r="E123" s="98"/>
      <c r="F123" s="98"/>
      <c r="G123" s="245" t="s">
        <v>31</v>
      </c>
      <c r="H123" s="1">
        <v>2018</v>
      </c>
      <c r="I123" s="75" t="s">
        <v>3</v>
      </c>
      <c r="J123" s="75" t="s">
        <v>158</v>
      </c>
      <c r="K123" s="155" t="s">
        <v>395</v>
      </c>
      <c r="L123" s="5" t="s">
        <v>395</v>
      </c>
      <c r="M123" s="5">
        <v>1.4999999999999999E-2</v>
      </c>
      <c r="N123" s="5">
        <v>2.3E-2</v>
      </c>
      <c r="O123" s="5">
        <v>0.01</v>
      </c>
      <c r="P123" s="5">
        <v>0.01</v>
      </c>
      <c r="Q123" s="5">
        <v>5.0000000000000001E-3</v>
      </c>
      <c r="R123" s="5">
        <v>0.01</v>
      </c>
      <c r="S123" s="5">
        <v>5.0000000000000001E-3</v>
      </c>
      <c r="T123" s="5" t="s">
        <v>395</v>
      </c>
      <c r="U123" s="5" t="s">
        <v>395</v>
      </c>
      <c r="V123" s="5">
        <v>1.2999999999999999E-2</v>
      </c>
      <c r="W123" s="5">
        <v>0.01</v>
      </c>
      <c r="X123" s="5">
        <v>1.2999999999999999E-2</v>
      </c>
      <c r="Y123" s="5">
        <v>1.4999999999999999E-2</v>
      </c>
      <c r="Z123" s="5">
        <v>0.01</v>
      </c>
      <c r="AA123" s="5">
        <v>0.02</v>
      </c>
      <c r="AB123" s="5">
        <v>1.2999999999999999E-2</v>
      </c>
      <c r="AC123" s="5">
        <v>0.1</v>
      </c>
      <c r="AD123" s="5" t="s">
        <v>395</v>
      </c>
      <c r="AE123" s="5" t="s">
        <v>395</v>
      </c>
      <c r="AF123" s="5">
        <v>4.0000000000000001E-3</v>
      </c>
      <c r="AG123" s="250" t="s">
        <v>395</v>
      </c>
      <c r="AH123" s="250">
        <v>0.2</v>
      </c>
      <c r="AI123" s="5">
        <v>0.2</v>
      </c>
      <c r="AJ123" s="5">
        <v>0.2</v>
      </c>
      <c r="AK123" s="5">
        <v>0.02</v>
      </c>
      <c r="AL123" s="5">
        <v>0.1</v>
      </c>
      <c r="AM123" s="5">
        <v>0.1</v>
      </c>
      <c r="AN123" s="5">
        <v>0.1</v>
      </c>
      <c r="AO123" s="5">
        <v>0.02</v>
      </c>
      <c r="AP123" s="5">
        <v>0.05</v>
      </c>
      <c r="AQ123" s="5">
        <v>0.1</v>
      </c>
      <c r="AR123" s="5">
        <v>0.05</v>
      </c>
      <c r="AS123" s="5" t="s">
        <v>395</v>
      </c>
      <c r="AT123" s="5" t="s">
        <v>395</v>
      </c>
      <c r="AU123" s="5" t="s">
        <v>395</v>
      </c>
      <c r="AV123" s="5" t="s">
        <v>395</v>
      </c>
      <c r="AW123" s="5" t="s">
        <v>395</v>
      </c>
      <c r="AX123" s="5" t="s">
        <v>395</v>
      </c>
      <c r="AY123" s="5" t="s">
        <v>395</v>
      </c>
      <c r="AZ123" s="5" t="s">
        <v>395</v>
      </c>
      <c r="BA123" s="5" t="s">
        <v>395</v>
      </c>
      <c r="BB123" s="5" t="s">
        <v>395</v>
      </c>
      <c r="BC123" s="5">
        <v>0.2</v>
      </c>
      <c r="BD123" s="5">
        <v>0.2</v>
      </c>
      <c r="BE123" s="5">
        <v>0.21</v>
      </c>
      <c r="BF123" s="5">
        <v>0.02</v>
      </c>
      <c r="BG123" s="5">
        <v>0.2</v>
      </c>
      <c r="BH123" s="5">
        <v>0.05</v>
      </c>
      <c r="BI123" s="5">
        <v>0.1</v>
      </c>
      <c r="BJ123" s="5">
        <v>0.1</v>
      </c>
      <c r="BK123" s="5">
        <v>0.05</v>
      </c>
      <c r="BL123" s="5">
        <v>0.1</v>
      </c>
      <c r="BM123" s="5">
        <v>0.05</v>
      </c>
      <c r="BN123" s="5">
        <v>0.03</v>
      </c>
      <c r="BO123" s="5">
        <v>0.9506116229162711</v>
      </c>
      <c r="BP123" s="5">
        <v>1.3851882404237692</v>
      </c>
      <c r="BQ123" s="5">
        <v>0.18672634249058467</v>
      </c>
      <c r="BR123" s="5">
        <v>0.78167462607052207</v>
      </c>
      <c r="BS123" s="5">
        <v>0.18672634249058467</v>
      </c>
      <c r="BT123" s="5">
        <v>1.8672634249058466</v>
      </c>
      <c r="BU123" s="5">
        <v>1.8672634249058466</v>
      </c>
      <c r="BV123" s="5">
        <v>0.18672634249058467</v>
      </c>
      <c r="BW123" s="5">
        <v>0.18672634249058467</v>
      </c>
      <c r="BX123" s="5">
        <v>0.18672634249058467</v>
      </c>
      <c r="BY123" s="5">
        <v>6.2724999614951663E-2</v>
      </c>
      <c r="BZ123" s="5">
        <v>0.18672634249058467</v>
      </c>
      <c r="CA123" s="5">
        <v>0.18672634249058467</v>
      </c>
      <c r="CB123" s="5">
        <v>0.18672634249058467</v>
      </c>
      <c r="CC123" s="5">
        <v>0.18672634249058467</v>
      </c>
      <c r="CD123" s="5">
        <v>0.18672634249058467</v>
      </c>
      <c r="CE123" s="5">
        <v>0.12690837857116516</v>
      </c>
      <c r="CF123" s="5">
        <v>0.18672634249058467</v>
      </c>
      <c r="CG123" s="5">
        <v>0.18672634249058467</v>
      </c>
      <c r="CH123" s="5">
        <v>0.18672634249058467</v>
      </c>
      <c r="CI123" s="5" t="s">
        <v>395</v>
      </c>
      <c r="CJ123" s="5" t="s">
        <v>395</v>
      </c>
      <c r="CK123" s="5" t="s">
        <v>395</v>
      </c>
      <c r="CL123" s="5" t="s">
        <v>395</v>
      </c>
      <c r="CM123" s="5" t="s">
        <v>395</v>
      </c>
      <c r="CN123" s="5" t="s">
        <v>395</v>
      </c>
      <c r="CO123" s="5" t="s">
        <v>395</v>
      </c>
      <c r="CP123" s="5" t="s">
        <v>395</v>
      </c>
      <c r="CQ123" s="5" t="s">
        <v>395</v>
      </c>
      <c r="CR123" s="5" t="s">
        <v>395</v>
      </c>
      <c r="CS123" s="5" t="s">
        <v>395</v>
      </c>
      <c r="CT123" s="5" t="s">
        <v>395</v>
      </c>
      <c r="CU123" s="5" t="s">
        <v>395</v>
      </c>
      <c r="CV123" s="5" t="s">
        <v>395</v>
      </c>
      <c r="CW123" s="5" t="s">
        <v>395</v>
      </c>
      <c r="CX123" s="5" t="s">
        <v>395</v>
      </c>
      <c r="CY123" s="252" t="s">
        <v>395</v>
      </c>
    </row>
    <row r="124" spans="1:103" x14ac:dyDescent="0.3">
      <c r="A124" s="98" t="s">
        <v>4</v>
      </c>
      <c r="B124" s="98" t="s">
        <v>4</v>
      </c>
      <c r="C124" s="132" t="s">
        <v>19</v>
      </c>
      <c r="D124" s="132"/>
      <c r="E124" s="98"/>
      <c r="F124" s="98"/>
      <c r="G124" s="245">
        <v>43332</v>
      </c>
      <c r="H124" s="1">
        <v>2018</v>
      </c>
      <c r="I124" s="75" t="s">
        <v>33</v>
      </c>
      <c r="J124" s="75">
        <v>10</v>
      </c>
      <c r="K124" s="155">
        <v>0.292873413602383</v>
      </c>
      <c r="L124" s="5">
        <v>5.4901960784313752</v>
      </c>
      <c r="M124" s="5">
        <v>0.27893942660056048</v>
      </c>
      <c r="N124" s="5">
        <v>0.60719443845656385</v>
      </c>
      <c r="O124" s="5">
        <v>1.9677408924337139</v>
      </c>
      <c r="P124" s="5">
        <v>1.7948049148523388</v>
      </c>
      <c r="Q124" s="5">
        <v>3.2576255658547097</v>
      </c>
      <c r="R124" s="5">
        <v>3.238844578572968</v>
      </c>
      <c r="S124" s="5">
        <v>0.73065854710066824</v>
      </c>
      <c r="T124" s="5">
        <v>11.875808363871524</v>
      </c>
      <c r="U124" s="5">
        <f t="shared" si="10"/>
        <v>172.10513110462068</v>
      </c>
      <c r="V124" s="5" t="s">
        <v>67</v>
      </c>
      <c r="W124" s="5">
        <v>0.11104504541588939</v>
      </c>
      <c r="X124" s="5">
        <v>5.6389560447935305E-2</v>
      </c>
      <c r="Y124" s="5">
        <v>9.8603534806820936E-2</v>
      </c>
      <c r="Z124" s="5">
        <v>8.5933030233457039E-2</v>
      </c>
      <c r="AA124" s="5" t="s">
        <v>68</v>
      </c>
      <c r="AB124" s="5" t="s">
        <v>67</v>
      </c>
      <c r="AC124" s="5" t="s">
        <v>65</v>
      </c>
      <c r="AD124" s="5">
        <v>0.35197117090410268</v>
      </c>
      <c r="AE124" s="5">
        <f t="shared" ref="AE124:AE150" si="16">SUM(V124,W124,Y124,X124,AB124,AA124)</f>
        <v>0.26603814067064563</v>
      </c>
      <c r="AF124" s="5">
        <v>4.4956348350937703E-2</v>
      </c>
      <c r="AG124" s="250">
        <f>(AF124/K124)*5</f>
        <v>0.76750476934673717</v>
      </c>
      <c r="AH124" s="250">
        <v>11.850856232576664</v>
      </c>
      <c r="AI124" s="5" t="s">
        <v>69</v>
      </c>
      <c r="AJ124" s="5" t="s">
        <v>69</v>
      </c>
      <c r="AK124" s="5" t="s">
        <v>56</v>
      </c>
      <c r="AL124" s="5">
        <v>0.16427718040621267</v>
      </c>
      <c r="AM124" s="5" t="s">
        <v>65</v>
      </c>
      <c r="AN124" s="5">
        <v>0.39117881322182402</v>
      </c>
      <c r="AO124" s="5" t="s">
        <v>69</v>
      </c>
      <c r="AP124" s="5" t="s">
        <v>71</v>
      </c>
      <c r="AQ124" s="5">
        <v>0.33157440594716581</v>
      </c>
      <c r="AR124" s="5">
        <v>0.12208615425461304</v>
      </c>
      <c r="AS124" s="5" t="s">
        <v>395</v>
      </c>
      <c r="AT124" s="5" t="s">
        <v>395</v>
      </c>
      <c r="AU124" s="5" t="s">
        <v>395</v>
      </c>
      <c r="AV124" s="5" t="s">
        <v>395</v>
      </c>
      <c r="AW124" s="5" t="s">
        <v>395</v>
      </c>
      <c r="AX124" s="5" t="s">
        <v>395</v>
      </c>
      <c r="AY124" s="5" t="s">
        <v>395</v>
      </c>
      <c r="AZ124" s="5" t="s">
        <v>395</v>
      </c>
      <c r="BA124" s="5" t="s">
        <v>395</v>
      </c>
      <c r="BB124" s="5" t="s">
        <v>395</v>
      </c>
      <c r="BC124" s="5">
        <v>140</v>
      </c>
      <c r="BD124" s="5" t="s">
        <v>69</v>
      </c>
      <c r="BE124" s="5" t="s">
        <v>65</v>
      </c>
      <c r="BF124" s="5">
        <v>3.9414414414414414E-2</v>
      </c>
      <c r="BG124" s="5" t="s">
        <v>69</v>
      </c>
      <c r="BH124" s="5" t="s">
        <v>71</v>
      </c>
      <c r="BI124" s="5">
        <v>6.2473817567567576</v>
      </c>
      <c r="BJ124" s="5">
        <v>0.95692567567567577</v>
      </c>
      <c r="BK124" s="5" t="s">
        <v>71</v>
      </c>
      <c r="BL124" s="5">
        <v>4.8378659909909913</v>
      </c>
      <c r="BM124" s="5">
        <v>0.22687781531531537</v>
      </c>
      <c r="BN124" s="5">
        <v>100</v>
      </c>
      <c r="BO124" s="5" t="s">
        <v>45</v>
      </c>
      <c r="BP124" s="5" t="s">
        <v>396</v>
      </c>
      <c r="BQ124" s="5">
        <v>2.1565513994647985</v>
      </c>
      <c r="BR124" s="5" t="s">
        <v>161</v>
      </c>
      <c r="BS124" s="5" t="s">
        <v>69</v>
      </c>
      <c r="BT124" s="5">
        <v>2.8482671838103841</v>
      </c>
      <c r="BU124" s="5">
        <v>4.94355775638215</v>
      </c>
      <c r="BV124" s="5" t="s">
        <v>128</v>
      </c>
      <c r="BW124" s="5" t="s">
        <v>128</v>
      </c>
      <c r="BX124" s="5" t="s">
        <v>128</v>
      </c>
      <c r="BY124" s="5">
        <v>0.46182250865355157</v>
      </c>
      <c r="BZ124" s="5">
        <v>1.96622118572614</v>
      </c>
      <c r="CA124" s="5" t="s">
        <v>128</v>
      </c>
      <c r="CB124" s="5">
        <v>0.27326767661836199</v>
      </c>
      <c r="CC124" s="5">
        <v>10.957537485233415</v>
      </c>
      <c r="CD124" s="5" t="s">
        <v>128</v>
      </c>
      <c r="CE124" s="5">
        <v>0.56363211476430231</v>
      </c>
      <c r="CF124" s="5" t="s">
        <v>128</v>
      </c>
      <c r="CG124" s="5" t="s">
        <v>128</v>
      </c>
      <c r="CH124" s="5" t="s">
        <v>128</v>
      </c>
      <c r="CI124" s="5" t="s">
        <v>395</v>
      </c>
      <c r="CJ124" s="5" t="s">
        <v>395</v>
      </c>
      <c r="CK124" s="5" t="s">
        <v>395</v>
      </c>
      <c r="CL124" s="5" t="s">
        <v>395</v>
      </c>
      <c r="CM124" s="5" t="s">
        <v>395</v>
      </c>
      <c r="CN124" s="5" t="s">
        <v>395</v>
      </c>
      <c r="CO124" s="5" t="s">
        <v>395</v>
      </c>
      <c r="CP124" s="5" t="s">
        <v>395</v>
      </c>
      <c r="CQ124" s="5" t="s">
        <v>395</v>
      </c>
      <c r="CR124" s="5" t="s">
        <v>395</v>
      </c>
      <c r="CS124" s="5" t="s">
        <v>395</v>
      </c>
      <c r="CT124" s="5" t="s">
        <v>395</v>
      </c>
      <c r="CU124" s="5" t="s">
        <v>395</v>
      </c>
      <c r="CV124" s="5" t="s">
        <v>395</v>
      </c>
      <c r="CW124" s="5" t="s">
        <v>395</v>
      </c>
      <c r="CX124" s="5" t="s">
        <v>395</v>
      </c>
      <c r="CY124" s="252" t="s">
        <v>395</v>
      </c>
    </row>
    <row r="125" spans="1:103" x14ac:dyDescent="0.3">
      <c r="A125" s="98" t="s">
        <v>82</v>
      </c>
      <c r="B125" s="98" t="s">
        <v>82</v>
      </c>
      <c r="C125" s="132" t="s">
        <v>19</v>
      </c>
      <c r="D125" s="132"/>
      <c r="E125" s="98"/>
      <c r="F125" s="98"/>
      <c r="G125" s="245">
        <v>43329</v>
      </c>
      <c r="H125" s="1">
        <v>2018</v>
      </c>
      <c r="I125" s="75" t="s">
        <v>33</v>
      </c>
      <c r="J125" s="75">
        <v>15</v>
      </c>
      <c r="K125" s="155">
        <v>0.25720620842575137</v>
      </c>
      <c r="L125" s="5">
        <v>3.2450808694756677</v>
      </c>
      <c r="M125" s="5">
        <v>0.68899128290835587</v>
      </c>
      <c r="N125" s="5">
        <v>1.2293456115012402</v>
      </c>
      <c r="O125" s="5">
        <v>4.6938896402560601</v>
      </c>
      <c r="P125" s="5">
        <v>3.8195135216425982</v>
      </c>
      <c r="Q125" s="5">
        <v>7.9998650273419969</v>
      </c>
      <c r="R125" s="5">
        <v>7.3394171546110716</v>
      </c>
      <c r="S125" s="5">
        <v>2.4935294199585876</v>
      </c>
      <c r="T125" s="5">
        <v>28.264551658219911</v>
      </c>
      <c r="U125" s="5">
        <f t="shared" si="10"/>
        <v>475.2031120515108</v>
      </c>
      <c r="V125" s="5" t="s">
        <v>60</v>
      </c>
      <c r="W125" s="5">
        <v>8.6783707965423215E-2</v>
      </c>
      <c r="X125" s="5">
        <v>3.1317323877682657E-2</v>
      </c>
      <c r="Y125" s="5">
        <v>4.7012528414843338E-2</v>
      </c>
      <c r="Z125" s="5" t="s">
        <v>60</v>
      </c>
      <c r="AA125" s="5" t="s">
        <v>56</v>
      </c>
      <c r="AB125" s="5">
        <v>3.0430310686378602E-2</v>
      </c>
      <c r="AC125" s="5" t="s">
        <v>65</v>
      </c>
      <c r="AD125" s="5">
        <v>0.19554387094432782</v>
      </c>
      <c r="AE125" s="5">
        <f t="shared" si="16"/>
        <v>0.19554387094432782</v>
      </c>
      <c r="AF125" s="5">
        <v>2.8855094118948973E-2</v>
      </c>
      <c r="AG125" s="250">
        <f t="shared" ref="AG125:AG133" si="17">(AF125/K125)*5</f>
        <v>0.56093307963984618</v>
      </c>
      <c r="AH125" s="250">
        <v>3.9216209010930423</v>
      </c>
      <c r="AI125" s="5" t="s">
        <v>69</v>
      </c>
      <c r="AJ125" s="5" t="s">
        <v>69</v>
      </c>
      <c r="AK125" s="5" t="s">
        <v>56</v>
      </c>
      <c r="AL125" s="5" t="s">
        <v>65</v>
      </c>
      <c r="AM125" s="5" t="s">
        <v>65</v>
      </c>
      <c r="AN125" s="5" t="s">
        <v>65</v>
      </c>
      <c r="AO125" s="5" t="s">
        <v>69</v>
      </c>
      <c r="AP125" s="5" t="s">
        <v>71</v>
      </c>
      <c r="AQ125" s="5">
        <v>0.14399123196777155</v>
      </c>
      <c r="AR125" s="5">
        <v>0.1151900234011671</v>
      </c>
      <c r="AS125" s="5" t="s">
        <v>395</v>
      </c>
      <c r="AT125" s="5" t="s">
        <v>395</v>
      </c>
      <c r="AU125" s="5" t="s">
        <v>395</v>
      </c>
      <c r="AV125" s="5" t="s">
        <v>395</v>
      </c>
      <c r="AW125" s="5" t="s">
        <v>395</v>
      </c>
      <c r="AX125" s="5" t="s">
        <v>395</v>
      </c>
      <c r="AY125" s="5" t="s">
        <v>395</v>
      </c>
      <c r="AZ125" s="5" t="s">
        <v>395</v>
      </c>
      <c r="BA125" s="5" t="s">
        <v>395</v>
      </c>
      <c r="BB125" s="5" t="s">
        <v>395</v>
      </c>
      <c r="BC125" s="5">
        <v>58.548868560423685</v>
      </c>
      <c r="BD125" s="5" t="s">
        <v>69</v>
      </c>
      <c r="BE125" s="5" t="s">
        <v>65</v>
      </c>
      <c r="BF125" s="5">
        <v>0.31937088749799392</v>
      </c>
      <c r="BG125" s="5" t="s">
        <v>69</v>
      </c>
      <c r="BH125" s="5">
        <v>8.9231263039640463E-2</v>
      </c>
      <c r="BI125" s="5">
        <v>2.0865671641791042</v>
      </c>
      <c r="BJ125" s="5">
        <v>0.6913818006740492</v>
      </c>
      <c r="BK125" s="5">
        <v>0.68656716417910446</v>
      </c>
      <c r="BL125" s="5">
        <v>1.8276681110576152</v>
      </c>
      <c r="BM125" s="5">
        <v>0.32992136093724922</v>
      </c>
      <c r="BN125" s="5">
        <v>240</v>
      </c>
      <c r="BO125" s="5">
        <v>3.7147480048698935</v>
      </c>
      <c r="BP125" s="5" t="s">
        <v>396</v>
      </c>
      <c r="BQ125" s="5" t="s">
        <v>69</v>
      </c>
      <c r="BR125" s="5">
        <v>2.8242698857238118</v>
      </c>
      <c r="BS125" s="5" t="s">
        <v>69</v>
      </c>
      <c r="BT125" s="5" t="s">
        <v>397</v>
      </c>
      <c r="BU125" s="5" t="s">
        <v>397</v>
      </c>
      <c r="BV125" s="5" t="s">
        <v>128</v>
      </c>
      <c r="BW125" s="5">
        <v>0.21533437308481992</v>
      </c>
      <c r="BX125" s="5" t="s">
        <v>128</v>
      </c>
      <c r="BY125" s="5">
        <v>0.15844538234022512</v>
      </c>
      <c r="BZ125" s="5">
        <v>1.5987682877689999</v>
      </c>
      <c r="CA125" s="5" t="s">
        <v>128</v>
      </c>
      <c r="CB125" s="5">
        <v>0.28858978820912901</v>
      </c>
      <c r="CC125" s="5" t="s">
        <v>128</v>
      </c>
      <c r="CD125" s="5">
        <v>0.23481159751060296</v>
      </c>
      <c r="CE125" s="5">
        <v>1.5119068209517521</v>
      </c>
      <c r="CF125" s="5" t="s">
        <v>128</v>
      </c>
      <c r="CG125" s="5" t="s">
        <v>128</v>
      </c>
      <c r="CH125" s="5" t="s">
        <v>128</v>
      </c>
      <c r="CI125" s="5" t="s">
        <v>395</v>
      </c>
      <c r="CJ125" s="5" t="s">
        <v>395</v>
      </c>
      <c r="CK125" s="5" t="s">
        <v>395</v>
      </c>
      <c r="CL125" s="5" t="s">
        <v>395</v>
      </c>
      <c r="CM125" s="5" t="s">
        <v>395</v>
      </c>
      <c r="CN125" s="5" t="s">
        <v>395</v>
      </c>
      <c r="CO125" s="5" t="s">
        <v>395</v>
      </c>
      <c r="CP125" s="5" t="s">
        <v>395</v>
      </c>
      <c r="CQ125" s="5" t="s">
        <v>395</v>
      </c>
      <c r="CR125" s="5" t="s">
        <v>395</v>
      </c>
      <c r="CS125" s="5" t="s">
        <v>395</v>
      </c>
      <c r="CT125" s="5" t="s">
        <v>395</v>
      </c>
      <c r="CU125" s="5" t="s">
        <v>395</v>
      </c>
      <c r="CV125" s="5" t="s">
        <v>395</v>
      </c>
      <c r="CW125" s="5" t="s">
        <v>395</v>
      </c>
      <c r="CX125" s="5" t="s">
        <v>395</v>
      </c>
      <c r="CY125" s="252" t="s">
        <v>395</v>
      </c>
    </row>
    <row r="126" spans="1:103" x14ac:dyDescent="0.3">
      <c r="A126" s="98" t="s">
        <v>112</v>
      </c>
      <c r="B126" s="98" t="s">
        <v>24</v>
      </c>
      <c r="C126" s="132" t="s">
        <v>19</v>
      </c>
      <c r="D126" s="132"/>
      <c r="E126" s="98"/>
      <c r="F126" s="98"/>
      <c r="G126" s="245">
        <v>43333</v>
      </c>
      <c r="H126" s="1">
        <v>2018</v>
      </c>
      <c r="I126" s="75" t="s">
        <v>33</v>
      </c>
      <c r="J126" s="75">
        <v>12</v>
      </c>
      <c r="K126" s="155">
        <v>0.34308164789861167</v>
      </c>
      <c r="L126" s="5">
        <v>3.6368003843382328</v>
      </c>
      <c r="M126" s="5">
        <v>0.48195788843428794</v>
      </c>
      <c r="N126" s="5">
        <v>1.1328659814389781</v>
      </c>
      <c r="O126" s="5">
        <v>3.2641652529687653</v>
      </c>
      <c r="P126" s="5">
        <v>2.6845524398762599</v>
      </c>
      <c r="Q126" s="5">
        <v>5.1638608921265341</v>
      </c>
      <c r="R126" s="5">
        <v>4.928051092705318</v>
      </c>
      <c r="S126" s="5">
        <v>1.465667099091907</v>
      </c>
      <c r="T126" s="5">
        <v>19.121120646642048</v>
      </c>
      <c r="U126" s="5">
        <f t="shared" si="10"/>
        <v>239.54309866820918</v>
      </c>
      <c r="V126" s="5" t="s">
        <v>60</v>
      </c>
      <c r="W126" s="5">
        <v>7.4620489115553551E-2</v>
      </c>
      <c r="X126" s="5">
        <v>2.0356902382176214E-2</v>
      </c>
      <c r="Y126" s="5">
        <v>4.5954687725571854E-2</v>
      </c>
      <c r="Z126" s="5" t="s">
        <v>60</v>
      </c>
      <c r="AA126" s="5" t="s">
        <v>56</v>
      </c>
      <c r="AB126" s="5">
        <v>1.2448623407075811E-2</v>
      </c>
      <c r="AC126" s="5" t="s">
        <v>65</v>
      </c>
      <c r="AD126" s="5">
        <v>0.15338070263037742</v>
      </c>
      <c r="AE126" s="5">
        <f t="shared" si="16"/>
        <v>0.15338070263037742</v>
      </c>
      <c r="AF126" s="5">
        <v>3.2574593353956689E-2</v>
      </c>
      <c r="AG126" s="250">
        <f t="shared" si="17"/>
        <v>0.47473529338391213</v>
      </c>
      <c r="AH126" s="250">
        <v>3.5299954894000902</v>
      </c>
      <c r="AI126" s="5" t="s">
        <v>69</v>
      </c>
      <c r="AJ126" s="5" t="s">
        <v>69</v>
      </c>
      <c r="AK126" s="5" t="s">
        <v>56</v>
      </c>
      <c r="AL126" s="5" t="s">
        <v>65</v>
      </c>
      <c r="AM126" s="5" t="s">
        <v>65</v>
      </c>
      <c r="AN126" s="5" t="s">
        <v>65</v>
      </c>
      <c r="AO126" s="5" t="s">
        <v>69</v>
      </c>
      <c r="AP126" s="5" t="s">
        <v>71</v>
      </c>
      <c r="AQ126" s="5">
        <v>0.13805442790557809</v>
      </c>
      <c r="AR126" s="5">
        <v>0.10611035934445948</v>
      </c>
      <c r="AS126" s="5" t="s">
        <v>395</v>
      </c>
      <c r="AT126" s="5" t="s">
        <v>395</v>
      </c>
      <c r="AU126" s="5" t="s">
        <v>395</v>
      </c>
      <c r="AV126" s="5" t="s">
        <v>395</v>
      </c>
      <c r="AW126" s="5" t="s">
        <v>395</v>
      </c>
      <c r="AX126" s="5" t="s">
        <v>395</v>
      </c>
      <c r="AY126" s="5" t="s">
        <v>395</v>
      </c>
      <c r="AZ126" s="5" t="s">
        <v>395</v>
      </c>
      <c r="BA126" s="5" t="s">
        <v>395</v>
      </c>
      <c r="BB126" s="5" t="s">
        <v>395</v>
      </c>
      <c r="BC126" s="5">
        <v>70.473956338567589</v>
      </c>
      <c r="BD126" s="5" t="s">
        <v>69</v>
      </c>
      <c r="BE126" s="5" t="s">
        <v>65</v>
      </c>
      <c r="BF126" s="5">
        <v>0.22660538746329628</v>
      </c>
      <c r="BG126" s="5" t="s">
        <v>69</v>
      </c>
      <c r="BH126" s="5" t="s">
        <v>71</v>
      </c>
      <c r="BI126" s="5">
        <v>2.9652432018383759</v>
      </c>
      <c r="BJ126" s="5">
        <v>0.93163538873994634</v>
      </c>
      <c r="BK126" s="5" t="s">
        <v>71</v>
      </c>
      <c r="BL126" s="5">
        <v>2.2960870675347884</v>
      </c>
      <c r="BM126" s="5">
        <v>0.20549917017745437</v>
      </c>
      <c r="BN126" s="5">
        <v>190</v>
      </c>
      <c r="BO126" s="5" t="s">
        <v>398</v>
      </c>
      <c r="BP126" s="5" t="s">
        <v>396</v>
      </c>
      <c r="BQ126" s="5">
        <v>0.86593309944948949</v>
      </c>
      <c r="BR126" s="5" t="s">
        <v>161</v>
      </c>
      <c r="BS126" s="5" t="s">
        <v>69</v>
      </c>
      <c r="BT126" s="5" t="s">
        <v>397</v>
      </c>
      <c r="BU126" s="5" t="s">
        <v>397</v>
      </c>
      <c r="BV126" s="5" t="s">
        <v>128</v>
      </c>
      <c r="BW126" s="5" t="s">
        <v>128</v>
      </c>
      <c r="BX126" s="5" t="s">
        <v>128</v>
      </c>
      <c r="BY126" s="5">
        <v>0.42937522720224869</v>
      </c>
      <c r="BZ126" s="5">
        <v>0.70476582515727004</v>
      </c>
      <c r="CA126" s="5" t="s">
        <v>128</v>
      </c>
      <c r="CB126" s="5" t="s">
        <v>128</v>
      </c>
      <c r="CC126" s="5">
        <v>9.0257433236374727</v>
      </c>
      <c r="CD126" s="5" t="s">
        <v>128</v>
      </c>
      <c r="CE126" s="5">
        <v>0.47255119565978276</v>
      </c>
      <c r="CF126" s="5" t="s">
        <v>128</v>
      </c>
      <c r="CG126" s="5" t="s">
        <v>128</v>
      </c>
      <c r="CH126" s="5" t="s">
        <v>128</v>
      </c>
      <c r="CI126" s="5" t="s">
        <v>395</v>
      </c>
      <c r="CJ126" s="5" t="s">
        <v>395</v>
      </c>
      <c r="CK126" s="5" t="s">
        <v>395</v>
      </c>
      <c r="CL126" s="5" t="s">
        <v>395</v>
      </c>
      <c r="CM126" s="5" t="s">
        <v>395</v>
      </c>
      <c r="CN126" s="5" t="s">
        <v>395</v>
      </c>
      <c r="CO126" s="5" t="s">
        <v>395</v>
      </c>
      <c r="CP126" s="5" t="s">
        <v>395</v>
      </c>
      <c r="CQ126" s="5" t="s">
        <v>395</v>
      </c>
      <c r="CR126" s="5" t="s">
        <v>395</v>
      </c>
      <c r="CS126" s="5" t="s">
        <v>395</v>
      </c>
      <c r="CT126" s="5" t="s">
        <v>395</v>
      </c>
      <c r="CU126" s="5" t="s">
        <v>395</v>
      </c>
      <c r="CV126" s="5" t="s">
        <v>395</v>
      </c>
      <c r="CW126" s="5" t="s">
        <v>395</v>
      </c>
      <c r="CX126" s="5" t="s">
        <v>395</v>
      </c>
      <c r="CY126" s="252" t="s">
        <v>395</v>
      </c>
    </row>
    <row r="127" spans="1:103" x14ac:dyDescent="0.3">
      <c r="A127" s="98" t="s">
        <v>21</v>
      </c>
      <c r="B127" s="98" t="s">
        <v>21</v>
      </c>
      <c r="C127" s="132" t="s">
        <v>19</v>
      </c>
      <c r="D127" s="132"/>
      <c r="E127" s="98"/>
      <c r="F127" s="98"/>
      <c r="G127" s="245">
        <v>43327</v>
      </c>
      <c r="H127" s="1">
        <v>2018</v>
      </c>
      <c r="I127" s="75" t="s">
        <v>33</v>
      </c>
      <c r="J127" s="75">
        <v>12</v>
      </c>
      <c r="K127" s="155">
        <v>0.41920597456584663</v>
      </c>
      <c r="L127" s="5">
        <v>3.0491996464696083</v>
      </c>
      <c r="M127" s="5" t="s">
        <v>62</v>
      </c>
      <c r="N127" s="5">
        <v>8.2934702084876716E-2</v>
      </c>
      <c r="O127" s="5">
        <v>1.5298550111122871</v>
      </c>
      <c r="P127" s="5">
        <v>1.3751402264789925</v>
      </c>
      <c r="Q127" s="5">
        <v>6.5432373796168903</v>
      </c>
      <c r="R127" s="5">
        <v>5.5734998412530423</v>
      </c>
      <c r="S127" s="5">
        <v>2.5909143824743364</v>
      </c>
      <c r="T127" s="5">
        <v>17.695581543020424</v>
      </c>
      <c r="U127" s="5">
        <f t="shared" si="10"/>
        <v>194.65897800530877</v>
      </c>
      <c r="V127" s="5" t="s">
        <v>67</v>
      </c>
      <c r="W127" s="5">
        <v>0.22831771465736392</v>
      </c>
      <c r="X127" s="5">
        <v>8.2000012079135501E-2</v>
      </c>
      <c r="Y127" s="5">
        <v>0.15643782434260922</v>
      </c>
      <c r="Z127" s="5" t="s">
        <v>67</v>
      </c>
      <c r="AA127" s="5">
        <v>4.2603244921032436E-2</v>
      </c>
      <c r="AB127" s="5">
        <v>3.0467775155647431E-2</v>
      </c>
      <c r="AC127" s="5" t="s">
        <v>65</v>
      </c>
      <c r="AD127" s="5">
        <v>0.53982657115578858</v>
      </c>
      <c r="AE127" s="5">
        <f t="shared" si="16"/>
        <v>0.53982657115578847</v>
      </c>
      <c r="AF127" s="5">
        <v>3.0560376759445444E-2</v>
      </c>
      <c r="AG127" s="250">
        <f t="shared" si="17"/>
        <v>0.36450311557576787</v>
      </c>
      <c r="AH127" s="250">
        <v>20.195319871673902</v>
      </c>
      <c r="AI127" s="5" t="s">
        <v>69</v>
      </c>
      <c r="AJ127" s="5" t="s">
        <v>69</v>
      </c>
      <c r="AK127" s="5" t="s">
        <v>56</v>
      </c>
      <c r="AL127" s="5" t="s">
        <v>65</v>
      </c>
      <c r="AM127" s="5" t="s">
        <v>65</v>
      </c>
      <c r="AN127" s="5">
        <v>0.34714096999433852</v>
      </c>
      <c r="AO127" s="5" t="s">
        <v>69</v>
      </c>
      <c r="AP127" s="5" t="s">
        <v>71</v>
      </c>
      <c r="AQ127" s="5">
        <v>0.21610995785368306</v>
      </c>
      <c r="AR127" s="5">
        <v>0.10626847832924449</v>
      </c>
      <c r="AS127" s="5" t="s">
        <v>395</v>
      </c>
      <c r="AT127" s="5" t="s">
        <v>395</v>
      </c>
      <c r="AU127" s="5" t="s">
        <v>395</v>
      </c>
      <c r="AV127" s="5" t="s">
        <v>395</v>
      </c>
      <c r="AW127" s="5" t="s">
        <v>395</v>
      </c>
      <c r="AX127" s="5" t="s">
        <v>395</v>
      </c>
      <c r="AY127" s="5" t="s">
        <v>395</v>
      </c>
      <c r="AZ127" s="5" t="s">
        <v>395</v>
      </c>
      <c r="BA127" s="5" t="s">
        <v>395</v>
      </c>
      <c r="BB127" s="5" t="s">
        <v>395</v>
      </c>
      <c r="BC127" s="5">
        <v>260</v>
      </c>
      <c r="BD127" s="5" t="s">
        <v>69</v>
      </c>
      <c r="BE127" s="5" t="s">
        <v>65</v>
      </c>
      <c r="BF127" s="5">
        <v>0.33271478334472765</v>
      </c>
      <c r="BG127" s="5" t="s">
        <v>69</v>
      </c>
      <c r="BH127" s="5" t="s">
        <v>71</v>
      </c>
      <c r="BI127" s="5">
        <v>7.2437738060357457</v>
      </c>
      <c r="BJ127" s="5">
        <v>4.4564898915909756</v>
      </c>
      <c r="BK127" s="5" t="s">
        <v>71</v>
      </c>
      <c r="BL127" s="5">
        <v>3.9730767978643744</v>
      </c>
      <c r="BM127" s="5">
        <v>0.2076602532799427</v>
      </c>
      <c r="BN127" s="5">
        <v>90</v>
      </c>
      <c r="BO127" s="5" t="s">
        <v>398</v>
      </c>
      <c r="BP127" s="5" t="s">
        <v>396</v>
      </c>
      <c r="BQ127" s="5">
        <v>2.1790858743679076</v>
      </c>
      <c r="BR127" s="5">
        <v>2.2210987287025525</v>
      </c>
      <c r="BS127" s="5" t="s">
        <v>69</v>
      </c>
      <c r="BT127" s="5" t="s">
        <v>397</v>
      </c>
      <c r="BU127" s="5" t="s">
        <v>397</v>
      </c>
      <c r="BV127" s="5" t="s">
        <v>128</v>
      </c>
      <c r="BW127" s="5" t="s">
        <v>128</v>
      </c>
      <c r="BX127" s="5">
        <v>0.25833495611277191</v>
      </c>
      <c r="BY127" s="5">
        <v>0.55409375993113974</v>
      </c>
      <c r="BZ127" s="5">
        <v>1.6016051477059801</v>
      </c>
      <c r="CA127" s="5" t="s">
        <v>128</v>
      </c>
      <c r="CB127" s="5" t="s">
        <v>128</v>
      </c>
      <c r="CC127" s="5" t="s">
        <v>128</v>
      </c>
      <c r="CD127" s="5" t="s">
        <v>128</v>
      </c>
      <c r="CE127" s="5">
        <v>0.64685840057097199</v>
      </c>
      <c r="CF127" s="5" t="s">
        <v>128</v>
      </c>
      <c r="CG127" s="5" t="s">
        <v>128</v>
      </c>
      <c r="CH127" s="5" t="s">
        <v>128</v>
      </c>
      <c r="CI127" s="5" t="s">
        <v>395</v>
      </c>
      <c r="CJ127" s="5" t="s">
        <v>395</v>
      </c>
      <c r="CK127" s="5" t="s">
        <v>395</v>
      </c>
      <c r="CL127" s="5" t="s">
        <v>395</v>
      </c>
      <c r="CM127" s="5" t="s">
        <v>395</v>
      </c>
      <c r="CN127" s="5" t="s">
        <v>395</v>
      </c>
      <c r="CO127" s="5" t="s">
        <v>395</v>
      </c>
      <c r="CP127" s="5" t="s">
        <v>395</v>
      </c>
      <c r="CQ127" s="5" t="s">
        <v>395</v>
      </c>
      <c r="CR127" s="5" t="s">
        <v>395</v>
      </c>
      <c r="CS127" s="5" t="s">
        <v>395</v>
      </c>
      <c r="CT127" s="5" t="s">
        <v>395</v>
      </c>
      <c r="CU127" s="5" t="s">
        <v>395</v>
      </c>
      <c r="CV127" s="5" t="s">
        <v>395</v>
      </c>
      <c r="CW127" s="5" t="s">
        <v>395</v>
      </c>
      <c r="CX127" s="5" t="s">
        <v>395</v>
      </c>
      <c r="CY127" s="252" t="s">
        <v>395</v>
      </c>
    </row>
    <row r="128" spans="1:103" x14ac:dyDescent="0.3">
      <c r="A128" s="98" t="s">
        <v>22</v>
      </c>
      <c r="B128" s="98" t="s">
        <v>22</v>
      </c>
      <c r="C128" s="132" t="s">
        <v>19</v>
      </c>
      <c r="D128" s="132"/>
      <c r="E128" s="98"/>
      <c r="F128" s="98"/>
      <c r="G128" s="245">
        <v>43332</v>
      </c>
      <c r="H128" s="1">
        <v>2018</v>
      </c>
      <c r="I128" s="75" t="s">
        <v>33</v>
      </c>
      <c r="J128" s="75">
        <v>10</v>
      </c>
      <c r="K128" s="155">
        <v>0.30712932104814117</v>
      </c>
      <c r="L128" s="5">
        <v>3.830376371654189</v>
      </c>
      <c r="M128" s="5">
        <v>0.6939479035537911</v>
      </c>
      <c r="N128" s="5">
        <v>2.0754381717827055</v>
      </c>
      <c r="O128" s="5">
        <v>7.121884380749492</v>
      </c>
      <c r="P128" s="5">
        <v>5.5400213033794907</v>
      </c>
      <c r="Q128" s="5">
        <v>13.700866660211098</v>
      </c>
      <c r="R128" s="5">
        <v>12.835189309576839</v>
      </c>
      <c r="S128" s="5">
        <v>4.2656095671540619</v>
      </c>
      <c r="T128" s="5">
        <v>46.232957296407477</v>
      </c>
      <c r="U128" s="5">
        <f t="shared" si="10"/>
        <v>662.47233989504946</v>
      </c>
      <c r="V128" s="5" t="s">
        <v>60</v>
      </c>
      <c r="W128" s="5">
        <v>0.28488883099087009</v>
      </c>
      <c r="X128" s="5">
        <v>0.10052463025888335</v>
      </c>
      <c r="Y128" s="5">
        <v>0.27551925850083175</v>
      </c>
      <c r="Z128" s="5" t="s">
        <v>60</v>
      </c>
      <c r="AA128" s="5">
        <v>3.9410836842264603E-2</v>
      </c>
      <c r="AB128" s="5">
        <v>4.5657929947623577E-2</v>
      </c>
      <c r="AC128" s="5" t="s">
        <v>65</v>
      </c>
      <c r="AD128" s="5">
        <v>0.74600148654047338</v>
      </c>
      <c r="AE128" s="5">
        <f t="shared" si="16"/>
        <v>0.74600148654047349</v>
      </c>
      <c r="AF128" s="5">
        <v>5.4708531035150568E-2</v>
      </c>
      <c r="AG128" s="250">
        <f t="shared" si="17"/>
        <v>0.89064324513932103</v>
      </c>
      <c r="AH128" s="250">
        <v>15.152957171991844</v>
      </c>
      <c r="AI128" s="5" t="s">
        <v>69</v>
      </c>
      <c r="AJ128" s="5" t="s">
        <v>69</v>
      </c>
      <c r="AK128" s="5" t="s">
        <v>56</v>
      </c>
      <c r="AL128" s="5">
        <v>0.19520248616101776</v>
      </c>
      <c r="AM128" s="5" t="s">
        <v>65</v>
      </c>
      <c r="AN128" s="5">
        <v>0.50587549771778184</v>
      </c>
      <c r="AO128" s="5" t="s">
        <v>69</v>
      </c>
      <c r="AP128" s="5" t="s">
        <v>71</v>
      </c>
      <c r="AQ128" s="5">
        <v>0.62254378297886115</v>
      </c>
      <c r="AR128" s="5">
        <v>0.11714415201838722</v>
      </c>
      <c r="AS128" s="5" t="s">
        <v>395</v>
      </c>
      <c r="AT128" s="5" t="s">
        <v>395</v>
      </c>
      <c r="AU128" s="5" t="s">
        <v>395</v>
      </c>
      <c r="AV128" s="5" t="s">
        <v>395</v>
      </c>
      <c r="AW128" s="5" t="s">
        <v>395</v>
      </c>
      <c r="AX128" s="5" t="s">
        <v>395</v>
      </c>
      <c r="AY128" s="5" t="s">
        <v>395</v>
      </c>
      <c r="AZ128" s="5" t="s">
        <v>395</v>
      </c>
      <c r="BA128" s="5" t="s">
        <v>395</v>
      </c>
      <c r="BB128" s="5" t="s">
        <v>395</v>
      </c>
      <c r="BC128" s="5">
        <v>110</v>
      </c>
      <c r="BD128" s="5" t="s">
        <v>69</v>
      </c>
      <c r="BE128" s="5" t="s">
        <v>65</v>
      </c>
      <c r="BF128" s="5">
        <v>0.15173566192324278</v>
      </c>
      <c r="BG128" s="5" t="s">
        <v>69</v>
      </c>
      <c r="BH128" s="5" t="s">
        <v>71</v>
      </c>
      <c r="BI128" s="5">
        <v>2.8597186287192757</v>
      </c>
      <c r="BJ128" s="5">
        <v>1.4092820181112549</v>
      </c>
      <c r="BK128" s="5" t="s">
        <v>71</v>
      </c>
      <c r="BL128" s="5">
        <v>3.0304279862009489</v>
      </c>
      <c r="BM128" s="5">
        <v>0.18080799913755932</v>
      </c>
      <c r="BN128" s="5">
        <v>110</v>
      </c>
      <c r="BO128" s="5">
        <v>2.0811106317668981</v>
      </c>
      <c r="BP128" s="5" t="s">
        <v>396</v>
      </c>
      <c r="BQ128" s="5">
        <v>0.32136058549477453</v>
      </c>
      <c r="BR128" s="5" t="s">
        <v>161</v>
      </c>
      <c r="BS128" s="5">
        <v>1.2956023230632374</v>
      </c>
      <c r="BT128" s="5" t="s">
        <v>397</v>
      </c>
      <c r="BU128" s="5" t="s">
        <v>397</v>
      </c>
      <c r="BV128" s="5" t="s">
        <v>128</v>
      </c>
      <c r="BW128" s="5" t="s">
        <v>128</v>
      </c>
      <c r="BX128" s="5">
        <v>0.21172998098916415</v>
      </c>
      <c r="BY128" s="5">
        <v>0.58464481295433379</v>
      </c>
      <c r="BZ128" s="5">
        <v>3.77051507090437</v>
      </c>
      <c r="CA128" s="5" t="s">
        <v>128</v>
      </c>
      <c r="CB128" s="5" t="s">
        <v>128</v>
      </c>
      <c r="CC128" s="5" t="s">
        <v>128</v>
      </c>
      <c r="CD128" s="5" t="s">
        <v>128</v>
      </c>
      <c r="CE128" s="5">
        <v>0.50786539393511243</v>
      </c>
      <c r="CF128" s="5" t="s">
        <v>128</v>
      </c>
      <c r="CG128" s="5" t="s">
        <v>128</v>
      </c>
      <c r="CH128" s="5" t="s">
        <v>128</v>
      </c>
      <c r="CI128" s="5" t="s">
        <v>395</v>
      </c>
      <c r="CJ128" s="5" t="s">
        <v>395</v>
      </c>
      <c r="CK128" s="5" t="s">
        <v>395</v>
      </c>
      <c r="CL128" s="5" t="s">
        <v>395</v>
      </c>
      <c r="CM128" s="5" t="s">
        <v>395</v>
      </c>
      <c r="CN128" s="5" t="s">
        <v>395</v>
      </c>
      <c r="CO128" s="5" t="s">
        <v>395</v>
      </c>
      <c r="CP128" s="5" t="s">
        <v>395</v>
      </c>
      <c r="CQ128" s="5" t="s">
        <v>395</v>
      </c>
      <c r="CR128" s="5" t="s">
        <v>395</v>
      </c>
      <c r="CS128" s="5" t="s">
        <v>395</v>
      </c>
      <c r="CT128" s="5" t="s">
        <v>395</v>
      </c>
      <c r="CU128" s="5" t="s">
        <v>395</v>
      </c>
      <c r="CV128" s="5" t="s">
        <v>395</v>
      </c>
      <c r="CW128" s="5" t="s">
        <v>395</v>
      </c>
      <c r="CX128" s="5" t="s">
        <v>395</v>
      </c>
      <c r="CY128" s="252" t="s">
        <v>395</v>
      </c>
    </row>
    <row r="129" spans="1:103" x14ac:dyDescent="0.3">
      <c r="A129" s="98" t="s">
        <v>25</v>
      </c>
      <c r="B129" s="98" t="s">
        <v>25</v>
      </c>
      <c r="C129" s="132" t="s">
        <v>19</v>
      </c>
      <c r="D129" s="132"/>
      <c r="E129" s="98"/>
      <c r="F129" s="98"/>
      <c r="G129" s="245">
        <v>43327</v>
      </c>
      <c r="H129" s="1">
        <v>2018</v>
      </c>
      <c r="I129" s="75" t="s">
        <v>33</v>
      </c>
      <c r="J129" s="75">
        <v>11</v>
      </c>
      <c r="K129" s="155">
        <v>0.28651096160247419</v>
      </c>
      <c r="L129" s="5">
        <v>3.3899277274291575</v>
      </c>
      <c r="M129" s="5" t="s">
        <v>62</v>
      </c>
      <c r="N129" s="5">
        <v>8.9675151034960876E-2</v>
      </c>
      <c r="O129" s="5">
        <v>0.78679805882935527</v>
      </c>
      <c r="P129" s="5">
        <v>0.73567396256313755</v>
      </c>
      <c r="Q129" s="5">
        <v>3.1366693077151631</v>
      </c>
      <c r="R129" s="5">
        <v>2.7038724373576315</v>
      </c>
      <c r="S129" s="5">
        <v>1.2078191542042191</v>
      </c>
      <c r="T129" s="5">
        <v>8.6605080717044682</v>
      </c>
      <c r="U129" s="5">
        <f t="shared" ref="U129:U192" si="18">SUM(M129,N129,O129,Q129,R129,S129)*(5/K129)</f>
        <v>138.29896882159804</v>
      </c>
      <c r="V129" s="5" t="s">
        <v>60</v>
      </c>
      <c r="W129" s="5">
        <v>8.0942882063804955E-2</v>
      </c>
      <c r="X129" s="5">
        <v>3.9544751251164099E-2</v>
      </c>
      <c r="Y129" s="5">
        <v>8.4235997060343556E-2</v>
      </c>
      <c r="Z129" s="5" t="s">
        <v>60</v>
      </c>
      <c r="AA129" s="5">
        <v>2.7045671296966493E-2</v>
      </c>
      <c r="AB129" s="5">
        <v>1.8650244165199812E-2</v>
      </c>
      <c r="AC129" s="5" t="s">
        <v>65</v>
      </c>
      <c r="AD129" s="5">
        <v>0.25041954583747894</v>
      </c>
      <c r="AE129" s="5">
        <f t="shared" si="16"/>
        <v>0.25041954583747894</v>
      </c>
      <c r="AF129" s="5">
        <v>3.0809646429632565E-2</v>
      </c>
      <c r="AG129" s="250">
        <f t="shared" si="17"/>
        <v>0.53766959311630236</v>
      </c>
      <c r="AH129" s="250">
        <v>33.479955928468513</v>
      </c>
      <c r="AI129" s="5" t="s">
        <v>69</v>
      </c>
      <c r="AJ129" s="5" t="s">
        <v>69</v>
      </c>
      <c r="AK129" s="5" t="s">
        <v>56</v>
      </c>
      <c r="AL129" s="5" t="s">
        <v>65</v>
      </c>
      <c r="AM129" s="5" t="s">
        <v>65</v>
      </c>
      <c r="AN129" s="5">
        <v>0.61606915840325449</v>
      </c>
      <c r="AO129" s="5">
        <v>0.26838432635534082</v>
      </c>
      <c r="AP129" s="5" t="s">
        <v>71</v>
      </c>
      <c r="AQ129" s="5">
        <v>0.29327344125208349</v>
      </c>
      <c r="AR129" s="5">
        <v>8.6976297426335572E-2</v>
      </c>
      <c r="AS129" s="5" t="s">
        <v>395</v>
      </c>
      <c r="AT129" s="5" t="s">
        <v>395</v>
      </c>
      <c r="AU129" s="5" t="s">
        <v>395</v>
      </c>
      <c r="AV129" s="5" t="s">
        <v>395</v>
      </c>
      <c r="AW129" s="5" t="s">
        <v>395</v>
      </c>
      <c r="AX129" s="5" t="s">
        <v>395</v>
      </c>
      <c r="AY129" s="5" t="s">
        <v>395</v>
      </c>
      <c r="AZ129" s="5" t="s">
        <v>395</v>
      </c>
      <c r="BA129" s="5" t="s">
        <v>395</v>
      </c>
      <c r="BB129" s="5" t="s">
        <v>395</v>
      </c>
      <c r="BC129" s="5">
        <v>280</v>
      </c>
      <c r="BD129" s="5" t="s">
        <v>69</v>
      </c>
      <c r="BE129" s="5" t="s">
        <v>65</v>
      </c>
      <c r="BF129" s="5">
        <v>0.23168967784352401</v>
      </c>
      <c r="BG129" s="5" t="s">
        <v>69</v>
      </c>
      <c r="BH129" s="5" t="s">
        <v>71</v>
      </c>
      <c r="BI129" s="5">
        <v>5.9147140039447725</v>
      </c>
      <c r="BJ129" s="5">
        <v>2.6138067061143979</v>
      </c>
      <c r="BK129" s="5" t="s">
        <v>71</v>
      </c>
      <c r="BL129" s="5">
        <v>2.4442077580539117</v>
      </c>
      <c r="BM129" s="5">
        <v>0.16301643655489809</v>
      </c>
      <c r="BN129" s="5">
        <v>170</v>
      </c>
      <c r="BO129" s="5" t="s">
        <v>398</v>
      </c>
      <c r="BP129" s="5" t="s">
        <v>396</v>
      </c>
      <c r="BQ129" s="5" t="s">
        <v>69</v>
      </c>
      <c r="BR129" s="5" t="s">
        <v>161</v>
      </c>
      <c r="BS129" s="5" t="s">
        <v>69</v>
      </c>
      <c r="BT129" s="5" t="s">
        <v>397</v>
      </c>
      <c r="BU129" s="5" t="s">
        <v>397</v>
      </c>
      <c r="BV129" s="5" t="s">
        <v>128</v>
      </c>
      <c r="BW129" s="5" t="s">
        <v>128</v>
      </c>
      <c r="BX129" s="5" t="s">
        <v>128</v>
      </c>
      <c r="BY129" s="5">
        <v>0.25574563521606392</v>
      </c>
      <c r="BZ129" s="5" t="s">
        <v>128</v>
      </c>
      <c r="CA129" s="5" t="s">
        <v>128</v>
      </c>
      <c r="CB129" s="5" t="s">
        <v>128</v>
      </c>
      <c r="CC129" s="5" t="s">
        <v>128</v>
      </c>
      <c r="CD129" s="5" t="s">
        <v>128</v>
      </c>
      <c r="CE129" s="5">
        <v>0.80503432368330841</v>
      </c>
      <c r="CF129" s="5" t="s">
        <v>128</v>
      </c>
      <c r="CG129" s="5" t="s">
        <v>128</v>
      </c>
      <c r="CH129" s="5" t="s">
        <v>128</v>
      </c>
      <c r="CI129" s="5" t="s">
        <v>395</v>
      </c>
      <c r="CJ129" s="5" t="s">
        <v>395</v>
      </c>
      <c r="CK129" s="5" t="s">
        <v>395</v>
      </c>
      <c r="CL129" s="5" t="s">
        <v>395</v>
      </c>
      <c r="CM129" s="5" t="s">
        <v>395</v>
      </c>
      <c r="CN129" s="5" t="s">
        <v>395</v>
      </c>
      <c r="CO129" s="5" t="s">
        <v>395</v>
      </c>
      <c r="CP129" s="5" t="s">
        <v>395</v>
      </c>
      <c r="CQ129" s="5" t="s">
        <v>395</v>
      </c>
      <c r="CR129" s="5" t="s">
        <v>395</v>
      </c>
      <c r="CS129" s="5" t="s">
        <v>395</v>
      </c>
      <c r="CT129" s="5" t="s">
        <v>395</v>
      </c>
      <c r="CU129" s="5" t="s">
        <v>395</v>
      </c>
      <c r="CV129" s="5" t="s">
        <v>395</v>
      </c>
      <c r="CW129" s="5" t="s">
        <v>395</v>
      </c>
      <c r="CX129" s="5" t="s">
        <v>395</v>
      </c>
      <c r="CY129" s="252" t="s">
        <v>395</v>
      </c>
    </row>
    <row r="130" spans="1:103" x14ac:dyDescent="0.3">
      <c r="A130" s="98" t="s">
        <v>5</v>
      </c>
      <c r="B130" s="98" t="s">
        <v>5</v>
      </c>
      <c r="C130" s="132" t="s">
        <v>19</v>
      </c>
      <c r="D130" s="132"/>
      <c r="E130" s="98"/>
      <c r="F130" s="98"/>
      <c r="G130" s="245">
        <v>43332</v>
      </c>
      <c r="H130" s="1">
        <v>2018</v>
      </c>
      <c r="I130" s="75" t="s">
        <v>33</v>
      </c>
      <c r="J130" s="75">
        <v>12</v>
      </c>
      <c r="K130" s="155">
        <v>0.20147327331106513</v>
      </c>
      <c r="L130" s="5">
        <v>3.2044516933704186</v>
      </c>
      <c r="M130" s="5">
        <v>0.67163660278090942</v>
      </c>
      <c r="N130" s="5">
        <v>1.7113819992484027</v>
      </c>
      <c r="O130" s="5">
        <v>5.8178034573468622</v>
      </c>
      <c r="P130" s="5">
        <v>5.8379650507328069</v>
      </c>
      <c r="Q130" s="5">
        <v>9.7315435926343472</v>
      </c>
      <c r="R130" s="5">
        <v>9.0027245396467492</v>
      </c>
      <c r="S130" s="5">
        <v>2.2164740698985343</v>
      </c>
      <c r="T130" s="5">
        <v>34.98952931228861</v>
      </c>
      <c r="U130" s="5">
        <f t="shared" si="18"/>
        <v>723.45983619740923</v>
      </c>
      <c r="V130" s="5" t="s">
        <v>59</v>
      </c>
      <c r="W130" s="5">
        <v>0.26001460462533249</v>
      </c>
      <c r="X130" s="5">
        <v>7.7446728545998184E-2</v>
      </c>
      <c r="Y130" s="5">
        <v>0.18761107922220391</v>
      </c>
      <c r="Z130" s="5">
        <v>1.0239421309245508E-2</v>
      </c>
      <c r="AA130" s="5">
        <v>3.105319826962773E-2</v>
      </c>
      <c r="AB130" s="5">
        <v>3.6759044022560097E-2</v>
      </c>
      <c r="AC130" s="5" t="s">
        <v>65</v>
      </c>
      <c r="AD130" s="5">
        <v>0.60312407599496787</v>
      </c>
      <c r="AE130" s="5">
        <f t="shared" si="16"/>
        <v>0.59288465468572249</v>
      </c>
      <c r="AF130" s="5">
        <v>6.1204904171364143E-2</v>
      </c>
      <c r="AG130" s="250">
        <f t="shared" si="17"/>
        <v>1.5189335827404435</v>
      </c>
      <c r="AH130" s="250">
        <v>11.555790892461731</v>
      </c>
      <c r="AI130" s="5" t="s">
        <v>69</v>
      </c>
      <c r="AJ130" s="5" t="s">
        <v>69</v>
      </c>
      <c r="AK130" s="5" t="s">
        <v>56</v>
      </c>
      <c r="AL130" s="5">
        <v>0.33984788678155387</v>
      </c>
      <c r="AM130" s="5" t="s">
        <v>65</v>
      </c>
      <c r="AN130" s="5">
        <v>0.27332242225859249</v>
      </c>
      <c r="AO130" s="5" t="s">
        <v>69</v>
      </c>
      <c r="AP130" s="5" t="s">
        <v>71</v>
      </c>
      <c r="AQ130" s="5">
        <v>0.83954301851673585</v>
      </c>
      <c r="AR130" s="5">
        <v>0.1190173614453965</v>
      </c>
      <c r="AS130" s="5" t="s">
        <v>395</v>
      </c>
      <c r="AT130" s="5" t="s">
        <v>395</v>
      </c>
      <c r="AU130" s="5" t="s">
        <v>395</v>
      </c>
      <c r="AV130" s="5" t="s">
        <v>395</v>
      </c>
      <c r="AW130" s="5" t="s">
        <v>395</v>
      </c>
      <c r="AX130" s="5" t="s">
        <v>395</v>
      </c>
      <c r="AY130" s="5" t="s">
        <v>395</v>
      </c>
      <c r="AZ130" s="5" t="s">
        <v>395</v>
      </c>
      <c r="BA130" s="5" t="s">
        <v>395</v>
      </c>
      <c r="BB130" s="5" t="s">
        <v>395</v>
      </c>
      <c r="BC130" s="5">
        <v>100</v>
      </c>
      <c r="BD130" s="5" t="s">
        <v>69</v>
      </c>
      <c r="BE130" s="5" t="s">
        <v>65</v>
      </c>
      <c r="BF130" s="5">
        <v>0.25938653430062364</v>
      </c>
      <c r="BG130" s="5" t="s">
        <v>69</v>
      </c>
      <c r="BH130" s="5">
        <v>0.26778668703067321</v>
      </c>
      <c r="BI130" s="5">
        <v>3.7318823978617797</v>
      </c>
      <c r="BJ130" s="5">
        <v>2.2245131729667809</v>
      </c>
      <c r="BK130" s="5" t="s">
        <v>71</v>
      </c>
      <c r="BL130" s="5">
        <v>6.0695176275932283</v>
      </c>
      <c r="BM130" s="5">
        <v>0.35022782232404226</v>
      </c>
      <c r="BN130" s="5">
        <v>140</v>
      </c>
      <c r="BO130" s="5">
        <v>8.0973819489639443</v>
      </c>
      <c r="BP130" s="5" t="s">
        <v>396</v>
      </c>
      <c r="BQ130" s="5">
        <v>0.3159801808032463</v>
      </c>
      <c r="BR130" s="5">
        <v>7.046038584244684</v>
      </c>
      <c r="BS130" s="5">
        <v>0.83127036433264601</v>
      </c>
      <c r="BT130" s="5" t="s">
        <v>397</v>
      </c>
      <c r="BU130" s="5" t="s">
        <v>397</v>
      </c>
      <c r="BV130" s="5" t="s">
        <v>128</v>
      </c>
      <c r="BW130" s="5" t="s">
        <v>128</v>
      </c>
      <c r="BX130" s="5">
        <v>0.2017525358081031</v>
      </c>
      <c r="BY130" s="5">
        <v>0.1222872942984459</v>
      </c>
      <c r="BZ130" s="5">
        <v>3.9680578858432898</v>
      </c>
      <c r="CA130" s="5" t="s">
        <v>128</v>
      </c>
      <c r="CB130" s="5" t="s">
        <v>128</v>
      </c>
      <c r="CC130" s="5" t="s">
        <v>128</v>
      </c>
      <c r="CD130" s="5">
        <v>0.19677088210064811</v>
      </c>
      <c r="CE130" s="5">
        <v>1.0291177338192528</v>
      </c>
      <c r="CF130" s="5" t="s">
        <v>128</v>
      </c>
      <c r="CG130" s="5" t="s">
        <v>128</v>
      </c>
      <c r="CH130" s="5" t="s">
        <v>128</v>
      </c>
      <c r="CI130" s="5" t="s">
        <v>395</v>
      </c>
      <c r="CJ130" s="5" t="s">
        <v>395</v>
      </c>
      <c r="CK130" s="5" t="s">
        <v>395</v>
      </c>
      <c r="CL130" s="5" t="s">
        <v>395</v>
      </c>
      <c r="CM130" s="5" t="s">
        <v>395</v>
      </c>
      <c r="CN130" s="5" t="s">
        <v>395</v>
      </c>
      <c r="CO130" s="5" t="s">
        <v>395</v>
      </c>
      <c r="CP130" s="5" t="s">
        <v>395</v>
      </c>
      <c r="CQ130" s="5" t="s">
        <v>395</v>
      </c>
      <c r="CR130" s="5" t="s">
        <v>395</v>
      </c>
      <c r="CS130" s="5" t="s">
        <v>395</v>
      </c>
      <c r="CT130" s="5" t="s">
        <v>395</v>
      </c>
      <c r="CU130" s="5" t="s">
        <v>395</v>
      </c>
      <c r="CV130" s="5" t="s">
        <v>395</v>
      </c>
      <c r="CW130" s="5" t="s">
        <v>395</v>
      </c>
      <c r="CX130" s="5" t="s">
        <v>395</v>
      </c>
      <c r="CY130" s="252" t="s">
        <v>395</v>
      </c>
    </row>
    <row r="131" spans="1:103" x14ac:dyDescent="0.3">
      <c r="A131" s="98" t="s">
        <v>23</v>
      </c>
      <c r="B131" s="98" t="s">
        <v>23</v>
      </c>
      <c r="C131" s="132" t="s">
        <v>19</v>
      </c>
      <c r="D131" s="132"/>
      <c r="E131" s="98"/>
      <c r="F131" s="98"/>
      <c r="G131" s="245">
        <v>43333</v>
      </c>
      <c r="H131" s="1">
        <v>2018</v>
      </c>
      <c r="I131" s="75" t="s">
        <v>33</v>
      </c>
      <c r="J131" s="75">
        <v>11</v>
      </c>
      <c r="K131" s="155">
        <v>0.17288153625199784</v>
      </c>
      <c r="L131" s="5">
        <v>5.4299103504482602</v>
      </c>
      <c r="M131" s="5">
        <v>0.33318658673660551</v>
      </c>
      <c r="N131" s="5">
        <v>1.3073576245784937</v>
      </c>
      <c r="O131" s="5">
        <v>6.2243911577369797</v>
      </c>
      <c r="P131" s="5">
        <v>5.7780723117272377</v>
      </c>
      <c r="Q131" s="5">
        <v>12.467623641813415</v>
      </c>
      <c r="R131" s="5">
        <v>11.260771824653428</v>
      </c>
      <c r="S131" s="5">
        <v>4.3252294866991381</v>
      </c>
      <c r="T131" s="5">
        <v>41.696632633945292</v>
      </c>
      <c r="U131" s="5">
        <f t="shared" si="18"/>
        <v>1038.8200238417012</v>
      </c>
      <c r="V131" s="5" t="s">
        <v>59</v>
      </c>
      <c r="W131" s="5">
        <v>0.10699359252420752</v>
      </c>
      <c r="X131" s="5">
        <v>3.4581757635072326E-2</v>
      </c>
      <c r="Y131" s="5">
        <v>3.022020507474062E-2</v>
      </c>
      <c r="Z131" s="5" t="s">
        <v>59</v>
      </c>
      <c r="AA131" s="5" t="s">
        <v>66</v>
      </c>
      <c r="AB131" s="5">
        <v>3.5772712633653801E-2</v>
      </c>
      <c r="AC131" s="5" t="s">
        <v>65</v>
      </c>
      <c r="AD131" s="5">
        <v>0.20756826786767429</v>
      </c>
      <c r="AE131" s="5">
        <f t="shared" si="16"/>
        <v>0.20756826786767427</v>
      </c>
      <c r="AF131" s="5">
        <v>3.253606219557887E-2</v>
      </c>
      <c r="AG131" s="250">
        <f t="shared" si="17"/>
        <v>0.9409929741760632</v>
      </c>
      <c r="AH131" s="250">
        <v>5.4508381641863419</v>
      </c>
      <c r="AI131" s="5" t="s">
        <v>69</v>
      </c>
      <c r="AJ131" s="5" t="s">
        <v>69</v>
      </c>
      <c r="AK131" s="5" t="s">
        <v>56</v>
      </c>
      <c r="AL131" s="5">
        <v>0.35416262371434115</v>
      </c>
      <c r="AM131" s="5" t="s">
        <v>65</v>
      </c>
      <c r="AN131" s="5" t="s">
        <v>65</v>
      </c>
      <c r="AO131" s="5" t="s">
        <v>69</v>
      </c>
      <c r="AP131" s="5" t="s">
        <v>71</v>
      </c>
      <c r="AQ131" s="5">
        <v>0.18455275109077379</v>
      </c>
      <c r="AR131" s="5">
        <v>0.10093718469948267</v>
      </c>
      <c r="AS131" s="5" t="s">
        <v>395</v>
      </c>
      <c r="AT131" s="5" t="s">
        <v>395</v>
      </c>
      <c r="AU131" s="5" t="s">
        <v>395</v>
      </c>
      <c r="AV131" s="5" t="s">
        <v>395</v>
      </c>
      <c r="AW131" s="5" t="s">
        <v>395</v>
      </c>
      <c r="AX131" s="5" t="s">
        <v>395</v>
      </c>
      <c r="AY131" s="5" t="s">
        <v>395</v>
      </c>
      <c r="AZ131" s="5" t="s">
        <v>395</v>
      </c>
      <c r="BA131" s="5" t="s">
        <v>395</v>
      </c>
      <c r="BB131" s="5" t="s">
        <v>395</v>
      </c>
      <c r="BC131" s="5">
        <v>280</v>
      </c>
      <c r="BD131" s="5" t="s">
        <v>69</v>
      </c>
      <c r="BE131" s="5" t="s">
        <v>65</v>
      </c>
      <c r="BF131" s="5">
        <v>0.26803075174249896</v>
      </c>
      <c r="BG131" s="5">
        <v>0.23781746387866823</v>
      </c>
      <c r="BH131" s="5">
        <v>0.31649166891022762</v>
      </c>
      <c r="BI131" s="5">
        <v>12.659876155433903</v>
      </c>
      <c r="BJ131" s="5">
        <v>3.6821322803553795</v>
      </c>
      <c r="BK131" s="5" t="s">
        <v>71</v>
      </c>
      <c r="BL131" s="5">
        <v>10.085285231385923</v>
      </c>
      <c r="BM131" s="5">
        <v>0.18632624368063655</v>
      </c>
      <c r="BN131" s="5">
        <v>270</v>
      </c>
      <c r="BO131" s="5">
        <v>9.0550999525257172</v>
      </c>
      <c r="BP131" s="5" t="s">
        <v>396</v>
      </c>
      <c r="BQ131" s="5">
        <v>1.8053944889681586</v>
      </c>
      <c r="BR131" s="5">
        <v>9.6033623660369329</v>
      </c>
      <c r="BS131" s="5" t="s">
        <v>69</v>
      </c>
      <c r="BT131" s="5">
        <v>2.8672096715040705</v>
      </c>
      <c r="BU131" s="5">
        <v>18.572311475009375</v>
      </c>
      <c r="BV131" s="5" t="s">
        <v>128</v>
      </c>
      <c r="BW131" s="5" t="s">
        <v>128</v>
      </c>
      <c r="BX131" s="5" t="s">
        <v>128</v>
      </c>
      <c r="BY131" s="5" t="s">
        <v>144</v>
      </c>
      <c r="BZ131" s="5" t="s">
        <v>128</v>
      </c>
      <c r="CA131" s="5" t="s">
        <v>128</v>
      </c>
      <c r="CB131" s="5" t="s">
        <v>128</v>
      </c>
      <c r="CC131" s="5" t="s">
        <v>128</v>
      </c>
      <c r="CD131" s="5" t="s">
        <v>128</v>
      </c>
      <c r="CE131" s="5">
        <v>0.6419081560484009</v>
      </c>
      <c r="CF131" s="5" t="s">
        <v>128</v>
      </c>
      <c r="CG131" s="5" t="s">
        <v>128</v>
      </c>
      <c r="CH131" s="5" t="s">
        <v>128</v>
      </c>
      <c r="CI131" s="5" t="s">
        <v>395</v>
      </c>
      <c r="CJ131" s="5" t="s">
        <v>395</v>
      </c>
      <c r="CK131" s="5" t="s">
        <v>395</v>
      </c>
      <c r="CL131" s="5" t="s">
        <v>395</v>
      </c>
      <c r="CM131" s="5" t="s">
        <v>395</v>
      </c>
      <c r="CN131" s="5" t="s">
        <v>395</v>
      </c>
      <c r="CO131" s="5" t="s">
        <v>395</v>
      </c>
      <c r="CP131" s="5" t="s">
        <v>395</v>
      </c>
      <c r="CQ131" s="5" t="s">
        <v>395</v>
      </c>
      <c r="CR131" s="5" t="s">
        <v>395</v>
      </c>
      <c r="CS131" s="5" t="s">
        <v>395</v>
      </c>
      <c r="CT131" s="5" t="s">
        <v>395</v>
      </c>
      <c r="CU131" s="5" t="s">
        <v>395</v>
      </c>
      <c r="CV131" s="5" t="s">
        <v>395</v>
      </c>
      <c r="CW131" s="5" t="s">
        <v>395</v>
      </c>
      <c r="CX131" s="5" t="s">
        <v>395</v>
      </c>
      <c r="CY131" s="252" t="s">
        <v>395</v>
      </c>
    </row>
    <row r="132" spans="1:103" x14ac:dyDescent="0.3">
      <c r="A132" s="98" t="s">
        <v>6</v>
      </c>
      <c r="B132" s="98" t="s">
        <v>6</v>
      </c>
      <c r="C132" s="132" t="s">
        <v>19</v>
      </c>
      <c r="D132" s="132"/>
      <c r="E132" s="98"/>
      <c r="F132" s="98"/>
      <c r="G132" s="245">
        <v>43335</v>
      </c>
      <c r="H132" s="1">
        <v>2018</v>
      </c>
      <c r="I132" s="75" t="s">
        <v>33</v>
      </c>
      <c r="J132" s="75">
        <v>10</v>
      </c>
      <c r="K132" s="155">
        <v>0.18550690497922698</v>
      </c>
      <c r="L132" s="5">
        <v>6.5783812210163957</v>
      </c>
      <c r="M132" s="5">
        <v>3.1422061894816784E-2</v>
      </c>
      <c r="N132" s="5">
        <v>0.17346271743346695</v>
      </c>
      <c r="O132" s="5">
        <v>0.99568078831520479</v>
      </c>
      <c r="P132" s="5">
        <v>1.3333562252254516</v>
      </c>
      <c r="Q132" s="5">
        <v>3.3465728180575405</v>
      </c>
      <c r="R132" s="5">
        <v>2.5419850931761681</v>
      </c>
      <c r="S132" s="5">
        <v>1.1359274844885408</v>
      </c>
      <c r="T132" s="5">
        <v>9.5269851266963723</v>
      </c>
      <c r="U132" s="5">
        <f t="shared" si="18"/>
        <v>221.6912347356228</v>
      </c>
      <c r="V132" s="5" t="s">
        <v>59</v>
      </c>
      <c r="W132" s="5">
        <v>7.8841681054816329E-2</v>
      </c>
      <c r="X132" s="5">
        <v>2.7618599586597844E-2</v>
      </c>
      <c r="Y132" s="5">
        <v>5.6156578057047317E-2</v>
      </c>
      <c r="Z132" s="5">
        <v>1.4805772395656376E-2</v>
      </c>
      <c r="AA132" s="5" t="s">
        <v>66</v>
      </c>
      <c r="AB132" s="5">
        <v>1.4280003446251787E-2</v>
      </c>
      <c r="AC132" s="5" t="s">
        <v>65</v>
      </c>
      <c r="AD132" s="5">
        <v>0.18183211960993209</v>
      </c>
      <c r="AE132" s="5">
        <f t="shared" si="16"/>
        <v>0.17689686214471328</v>
      </c>
      <c r="AF132" s="5">
        <v>2.6235792896546425E-2</v>
      </c>
      <c r="AG132" s="250">
        <f t="shared" si="17"/>
        <v>0.70713790679339683</v>
      </c>
      <c r="AH132" s="250">
        <v>13.51472424175663</v>
      </c>
      <c r="AI132" s="5" t="s">
        <v>69</v>
      </c>
      <c r="AJ132" s="5" t="s">
        <v>69</v>
      </c>
      <c r="AK132" s="5" t="s">
        <v>56</v>
      </c>
      <c r="AL132" s="5" t="s">
        <v>65</v>
      </c>
      <c r="AM132" s="5" t="s">
        <v>65</v>
      </c>
      <c r="AN132" s="5">
        <v>1.628038481310127</v>
      </c>
      <c r="AO132" s="5" t="s">
        <v>69</v>
      </c>
      <c r="AP132" s="5" t="s">
        <v>71</v>
      </c>
      <c r="AQ132" s="5" t="s">
        <v>65</v>
      </c>
      <c r="AR132" s="5">
        <v>9.5926660302073405E-2</v>
      </c>
      <c r="AS132" s="5" t="s">
        <v>395</v>
      </c>
      <c r="AT132" s="5" t="s">
        <v>395</v>
      </c>
      <c r="AU132" s="5" t="s">
        <v>395</v>
      </c>
      <c r="AV132" s="5" t="s">
        <v>395</v>
      </c>
      <c r="AW132" s="5" t="s">
        <v>395</v>
      </c>
      <c r="AX132" s="5" t="s">
        <v>395</v>
      </c>
      <c r="AY132" s="5" t="s">
        <v>395</v>
      </c>
      <c r="AZ132" s="5" t="s">
        <v>395</v>
      </c>
      <c r="BA132" s="5" t="s">
        <v>395</v>
      </c>
      <c r="BB132" s="5" t="s">
        <v>395</v>
      </c>
      <c r="BC132" s="5">
        <v>160</v>
      </c>
      <c r="BD132" s="5" t="s">
        <v>69</v>
      </c>
      <c r="BE132" s="5" t="s">
        <v>65</v>
      </c>
      <c r="BF132" s="5" t="s">
        <v>56</v>
      </c>
      <c r="BG132" s="5" t="s">
        <v>69</v>
      </c>
      <c r="BH132" s="5">
        <v>1.0031073446327683</v>
      </c>
      <c r="BI132" s="5">
        <v>15.938050847457626</v>
      </c>
      <c r="BJ132" s="5">
        <v>3.0025423728813561</v>
      </c>
      <c r="BK132" s="5" t="s">
        <v>71</v>
      </c>
      <c r="BL132" s="5">
        <v>6.2864689265536731</v>
      </c>
      <c r="BM132" s="5">
        <v>0.32256214689265539</v>
      </c>
      <c r="BN132" s="5">
        <v>72</v>
      </c>
      <c r="BO132" s="5">
        <v>2.5270341648163388</v>
      </c>
      <c r="BP132" s="5" t="s">
        <v>396</v>
      </c>
      <c r="BQ132" s="5" t="s">
        <v>69</v>
      </c>
      <c r="BR132" s="5" t="s">
        <v>161</v>
      </c>
      <c r="BS132" s="5" t="s">
        <v>69</v>
      </c>
      <c r="BT132" s="5" t="s">
        <v>397</v>
      </c>
      <c r="BU132" s="5">
        <v>5.6585851769697353</v>
      </c>
      <c r="BV132" s="5" t="s">
        <v>128</v>
      </c>
      <c r="BW132" s="5" t="s">
        <v>128</v>
      </c>
      <c r="BX132" s="5" t="s">
        <v>128</v>
      </c>
      <c r="BY132" s="5">
        <v>0.45603913607957569</v>
      </c>
      <c r="BZ132" s="5">
        <v>1.92983723273029</v>
      </c>
      <c r="CA132" s="5" t="s">
        <v>128</v>
      </c>
      <c r="CB132" s="5">
        <v>0.44137363698955462</v>
      </c>
      <c r="CC132" s="5">
        <v>3.4567019132982248</v>
      </c>
      <c r="CD132" s="5" t="s">
        <v>128</v>
      </c>
      <c r="CE132" s="5">
        <v>0.96007449016492241</v>
      </c>
      <c r="CF132" s="5" t="s">
        <v>128</v>
      </c>
      <c r="CG132" s="5" t="s">
        <v>128</v>
      </c>
      <c r="CH132" s="5" t="s">
        <v>128</v>
      </c>
      <c r="CI132" s="5" t="s">
        <v>395</v>
      </c>
      <c r="CJ132" s="5" t="s">
        <v>395</v>
      </c>
      <c r="CK132" s="5" t="s">
        <v>395</v>
      </c>
      <c r="CL132" s="5" t="s">
        <v>395</v>
      </c>
      <c r="CM132" s="5" t="s">
        <v>395</v>
      </c>
      <c r="CN132" s="5" t="s">
        <v>395</v>
      </c>
      <c r="CO132" s="5" t="s">
        <v>395</v>
      </c>
      <c r="CP132" s="5" t="s">
        <v>395</v>
      </c>
      <c r="CQ132" s="5" t="s">
        <v>395</v>
      </c>
      <c r="CR132" s="5" t="s">
        <v>395</v>
      </c>
      <c r="CS132" s="5" t="s">
        <v>395</v>
      </c>
      <c r="CT132" s="5" t="s">
        <v>395</v>
      </c>
      <c r="CU132" s="5" t="s">
        <v>395</v>
      </c>
      <c r="CV132" s="5" t="s">
        <v>395</v>
      </c>
      <c r="CW132" s="5" t="s">
        <v>395</v>
      </c>
      <c r="CX132" s="5" t="s">
        <v>395</v>
      </c>
      <c r="CY132" s="252" t="s">
        <v>395</v>
      </c>
    </row>
    <row r="133" spans="1:103" x14ac:dyDescent="0.3">
      <c r="A133" s="98" t="s">
        <v>81</v>
      </c>
      <c r="B133" s="98" t="s">
        <v>81</v>
      </c>
      <c r="C133" s="132" t="s">
        <v>19</v>
      </c>
      <c r="D133" s="132"/>
      <c r="E133" s="98"/>
      <c r="F133" s="98"/>
      <c r="G133" s="245">
        <v>43328</v>
      </c>
      <c r="H133" s="1">
        <v>2018</v>
      </c>
      <c r="I133" s="75" t="s">
        <v>33</v>
      </c>
      <c r="J133" s="75">
        <v>13</v>
      </c>
      <c r="K133" s="155">
        <v>0.19387245542398815</v>
      </c>
      <c r="L133" s="5">
        <v>4.7855408686269341</v>
      </c>
      <c r="M133" s="5">
        <v>5.921173235563703E-2</v>
      </c>
      <c r="N133" s="5">
        <v>0.13955087076076991</v>
      </c>
      <c r="O133" s="5">
        <v>0.43413789591608104</v>
      </c>
      <c r="P133" s="5">
        <v>0.32781342295549443</v>
      </c>
      <c r="Q133" s="5">
        <v>0.95560138506976255</v>
      </c>
      <c r="R133" s="5">
        <v>0.88471331092779315</v>
      </c>
      <c r="S133" s="5">
        <v>0.36377940727161623</v>
      </c>
      <c r="T133" s="5">
        <v>3.164808025257154</v>
      </c>
      <c r="U133" s="5">
        <f t="shared" si="18"/>
        <v>73.166520641039796</v>
      </c>
      <c r="V133" s="5" t="s">
        <v>60</v>
      </c>
      <c r="W133" s="5">
        <v>8.5188058480274123E-2</v>
      </c>
      <c r="X133" s="5">
        <v>3.1980837675395384E-2</v>
      </c>
      <c r="Y133" s="5">
        <v>0.10884898085158279</v>
      </c>
      <c r="Z133" s="5">
        <v>1.3094883985111308E-2</v>
      </c>
      <c r="AA133" s="5">
        <v>1.9983151725224652E-2</v>
      </c>
      <c r="AB133" s="5">
        <v>1.7447886515321826E-2</v>
      </c>
      <c r="AC133" s="5" t="s">
        <v>65</v>
      </c>
      <c r="AD133" s="5">
        <v>0.27654379923291006</v>
      </c>
      <c r="AE133" s="5">
        <f t="shared" si="16"/>
        <v>0.26344891524779879</v>
      </c>
      <c r="AF133" s="5">
        <v>7.7997250229147566E-2</v>
      </c>
      <c r="AG133" s="250">
        <f t="shared" si="17"/>
        <v>2.0115609011752591</v>
      </c>
      <c r="AH133" s="250">
        <v>8.83908160222642</v>
      </c>
      <c r="AI133" s="5" t="s">
        <v>69</v>
      </c>
      <c r="AJ133" s="5" t="s">
        <v>69</v>
      </c>
      <c r="AK133" s="5" t="s">
        <v>56</v>
      </c>
      <c r="AL133" s="5" t="s">
        <v>65</v>
      </c>
      <c r="AM133" s="5" t="s">
        <v>65</v>
      </c>
      <c r="AN133" s="5">
        <v>0.9014014511479973</v>
      </c>
      <c r="AO133" s="5">
        <v>0.98863598714508161</v>
      </c>
      <c r="AP133" s="5" t="s">
        <v>71</v>
      </c>
      <c r="AQ133" s="5">
        <v>0.91346121989199225</v>
      </c>
      <c r="AR133" s="5">
        <v>0.44590332306265118</v>
      </c>
      <c r="AS133" s="5" t="s">
        <v>395</v>
      </c>
      <c r="AT133" s="5" t="s">
        <v>395</v>
      </c>
      <c r="AU133" s="5" t="s">
        <v>395</v>
      </c>
      <c r="AV133" s="5" t="s">
        <v>395</v>
      </c>
      <c r="AW133" s="5" t="s">
        <v>395</v>
      </c>
      <c r="AX133" s="5" t="s">
        <v>395</v>
      </c>
      <c r="AY133" s="5" t="s">
        <v>395</v>
      </c>
      <c r="AZ133" s="5" t="s">
        <v>395</v>
      </c>
      <c r="BA133" s="5" t="s">
        <v>395</v>
      </c>
      <c r="BB133" s="5" t="s">
        <v>395</v>
      </c>
      <c r="BC133" s="5">
        <v>120</v>
      </c>
      <c r="BD133" s="5" t="s">
        <v>69</v>
      </c>
      <c r="BE133" s="5" t="s">
        <v>65</v>
      </c>
      <c r="BF133" s="5">
        <v>0.26849296398514433</v>
      </c>
      <c r="BG133" s="5" t="s">
        <v>69</v>
      </c>
      <c r="BH133" s="5" t="s">
        <v>71</v>
      </c>
      <c r="BI133" s="5">
        <v>12.273229070837168</v>
      </c>
      <c r="BJ133" s="5">
        <v>12.371460697127672</v>
      </c>
      <c r="BK133" s="5" t="s">
        <v>71</v>
      </c>
      <c r="BL133" s="5">
        <v>10.260690313128215</v>
      </c>
      <c r="BM133" s="5">
        <v>2.2024157552216432</v>
      </c>
      <c r="BN133" s="5">
        <v>27</v>
      </c>
      <c r="BO133" s="5" t="s">
        <v>398</v>
      </c>
      <c r="BP133" s="5" t="s">
        <v>396</v>
      </c>
      <c r="BQ133" s="5" t="s">
        <v>69</v>
      </c>
      <c r="BR133" s="5">
        <v>8.7932592600819248</v>
      </c>
      <c r="BS133" s="5" t="s">
        <v>69</v>
      </c>
      <c r="BT133" s="5">
        <v>6.6579024827043369</v>
      </c>
      <c r="BU133" s="5" t="s">
        <v>397</v>
      </c>
      <c r="BV133" s="5" t="s">
        <v>128</v>
      </c>
      <c r="BW133" s="5" t="s">
        <v>128</v>
      </c>
      <c r="BX133" s="5" t="s">
        <v>128</v>
      </c>
      <c r="BY133" s="5">
        <v>0.33281175697602938</v>
      </c>
      <c r="BZ133" s="5" t="s">
        <v>128</v>
      </c>
      <c r="CA133" s="5" t="s">
        <v>128</v>
      </c>
      <c r="CB133" s="5">
        <v>0.30495444687965123</v>
      </c>
      <c r="CC133" s="5" t="s">
        <v>128</v>
      </c>
      <c r="CD133" s="5" t="s">
        <v>128</v>
      </c>
      <c r="CE133" s="5">
        <v>0.28081731247423236</v>
      </c>
      <c r="CF133" s="5">
        <v>1.4891435501085373</v>
      </c>
      <c r="CG133" s="5" t="s">
        <v>128</v>
      </c>
      <c r="CH133" s="5" t="s">
        <v>128</v>
      </c>
      <c r="CI133" s="5" t="s">
        <v>395</v>
      </c>
      <c r="CJ133" s="5" t="s">
        <v>395</v>
      </c>
      <c r="CK133" s="5" t="s">
        <v>395</v>
      </c>
      <c r="CL133" s="5" t="s">
        <v>395</v>
      </c>
      <c r="CM133" s="5" t="s">
        <v>395</v>
      </c>
      <c r="CN133" s="5" t="s">
        <v>395</v>
      </c>
      <c r="CO133" s="5" t="s">
        <v>395</v>
      </c>
      <c r="CP133" s="5" t="s">
        <v>395</v>
      </c>
      <c r="CQ133" s="5" t="s">
        <v>395</v>
      </c>
      <c r="CR133" s="5" t="s">
        <v>395</v>
      </c>
      <c r="CS133" s="5" t="s">
        <v>395</v>
      </c>
      <c r="CT133" s="5" t="s">
        <v>395</v>
      </c>
      <c r="CU133" s="5" t="s">
        <v>395</v>
      </c>
      <c r="CV133" s="5" t="s">
        <v>395</v>
      </c>
      <c r="CW133" s="5" t="s">
        <v>395</v>
      </c>
      <c r="CX133" s="5" t="s">
        <v>395</v>
      </c>
      <c r="CY133" s="252" t="s">
        <v>395</v>
      </c>
    </row>
    <row r="134" spans="1:103" x14ac:dyDescent="0.3">
      <c r="A134" s="98" t="s">
        <v>26</v>
      </c>
      <c r="B134" s="98" t="s">
        <v>26</v>
      </c>
      <c r="C134" s="132" t="s">
        <v>19</v>
      </c>
      <c r="D134" s="132"/>
      <c r="E134" s="98"/>
      <c r="F134" s="98"/>
      <c r="G134" s="245">
        <v>43328</v>
      </c>
      <c r="H134" s="1">
        <v>2018</v>
      </c>
      <c r="I134" s="75" t="s">
        <v>33</v>
      </c>
      <c r="J134" s="75">
        <v>17</v>
      </c>
      <c r="K134" s="155">
        <v>0.3479313213826441</v>
      </c>
      <c r="L134" s="5">
        <v>5.9379797359532906</v>
      </c>
      <c r="M134" s="5">
        <v>3.1578415521422792E-2</v>
      </c>
      <c r="N134" s="5">
        <v>4.77162489894907E-2</v>
      </c>
      <c r="O134" s="5">
        <v>0.2997776879547292</v>
      </c>
      <c r="P134" s="5">
        <v>0.37506063055780114</v>
      </c>
      <c r="Q134" s="5">
        <v>1.1963571139854483</v>
      </c>
      <c r="R134" s="5">
        <v>1.0582053354890864</v>
      </c>
      <c r="S134" s="5">
        <v>0.52019502829426023</v>
      </c>
      <c r="T134" s="5">
        <v>3.4495957962813257</v>
      </c>
      <c r="U134" s="5">
        <f t="shared" si="18"/>
        <v>45.322591506010944</v>
      </c>
      <c r="V134" s="5" t="s">
        <v>60</v>
      </c>
      <c r="W134" s="5">
        <v>1.0168977750713805E-2</v>
      </c>
      <c r="X134" s="5" t="s">
        <v>72</v>
      </c>
      <c r="Y134" s="5" t="s">
        <v>62</v>
      </c>
      <c r="Z134" s="5" t="s">
        <v>60</v>
      </c>
      <c r="AA134" s="5" t="s">
        <v>56</v>
      </c>
      <c r="AB134" s="5" t="s">
        <v>60</v>
      </c>
      <c r="AC134" s="5" t="s">
        <v>65</v>
      </c>
      <c r="AD134" s="5">
        <v>1.0168977750713805E-2</v>
      </c>
      <c r="AE134" s="5">
        <f t="shared" si="16"/>
        <v>1.0168977750713805E-2</v>
      </c>
      <c r="AF134" s="5" t="s">
        <v>63</v>
      </c>
      <c r="AG134" s="250" t="s">
        <v>395</v>
      </c>
      <c r="AH134" s="250">
        <v>1.1888059701492537</v>
      </c>
      <c r="AI134" s="5" t="s">
        <v>69</v>
      </c>
      <c r="AJ134" s="5" t="s">
        <v>69</v>
      </c>
      <c r="AK134" s="5" t="s">
        <v>56</v>
      </c>
      <c r="AL134" s="5" t="s">
        <v>65</v>
      </c>
      <c r="AM134" s="5" t="s">
        <v>65</v>
      </c>
      <c r="AN134" s="5" t="s">
        <v>65</v>
      </c>
      <c r="AO134" s="5" t="s">
        <v>69</v>
      </c>
      <c r="AP134" s="5" t="s">
        <v>71</v>
      </c>
      <c r="AQ134" s="5" t="s">
        <v>65</v>
      </c>
      <c r="AR134" s="5">
        <v>7.3599502487562182E-2</v>
      </c>
      <c r="AS134" s="5" t="s">
        <v>395</v>
      </c>
      <c r="AT134" s="5" t="s">
        <v>395</v>
      </c>
      <c r="AU134" s="5" t="s">
        <v>395</v>
      </c>
      <c r="AV134" s="5" t="s">
        <v>395</v>
      </c>
      <c r="AW134" s="5" t="s">
        <v>395</v>
      </c>
      <c r="AX134" s="5" t="s">
        <v>395</v>
      </c>
      <c r="AY134" s="5" t="s">
        <v>395</v>
      </c>
      <c r="AZ134" s="5" t="s">
        <v>395</v>
      </c>
      <c r="BA134" s="5" t="s">
        <v>395</v>
      </c>
      <c r="BB134" s="5" t="s">
        <v>395</v>
      </c>
      <c r="BC134" s="5">
        <v>33.51260043827611</v>
      </c>
      <c r="BD134" s="5" t="s">
        <v>69</v>
      </c>
      <c r="BE134" s="5" t="s">
        <v>65</v>
      </c>
      <c r="BF134" s="5">
        <v>0.15765765765765763</v>
      </c>
      <c r="BG134" s="5" t="s">
        <v>69</v>
      </c>
      <c r="BH134" s="5" t="s">
        <v>71</v>
      </c>
      <c r="BI134" s="5">
        <v>2.4533418553688819</v>
      </c>
      <c r="BJ134" s="5">
        <v>0.2008765522279036</v>
      </c>
      <c r="BK134" s="5" t="s">
        <v>71</v>
      </c>
      <c r="BL134" s="5">
        <v>1.4499939128317505</v>
      </c>
      <c r="BM134" s="5">
        <v>0.10831202824446068</v>
      </c>
      <c r="BN134" s="5">
        <v>72</v>
      </c>
      <c r="BO134" s="5" t="s">
        <v>398</v>
      </c>
      <c r="BP134" s="5" t="s">
        <v>396</v>
      </c>
      <c r="BQ134" s="5" t="s">
        <v>69</v>
      </c>
      <c r="BR134" s="5">
        <v>13.401868859979899</v>
      </c>
      <c r="BS134" s="5" t="s">
        <v>69</v>
      </c>
      <c r="BT134" s="5">
        <v>4.5258179261757823</v>
      </c>
      <c r="BU134" s="5" t="s">
        <v>397</v>
      </c>
      <c r="BV134" s="5" t="s">
        <v>128</v>
      </c>
      <c r="BW134" s="5" t="s">
        <v>128</v>
      </c>
      <c r="BX134" s="5" t="s">
        <v>128</v>
      </c>
      <c r="BY134" s="5">
        <v>0.19043939959137526</v>
      </c>
      <c r="BZ134" s="5" t="s">
        <v>128</v>
      </c>
      <c r="CA134" s="5" t="s">
        <v>128</v>
      </c>
      <c r="CB134" s="5" t="s">
        <v>128</v>
      </c>
      <c r="CC134" s="5" t="s">
        <v>128</v>
      </c>
      <c r="CD134" s="5" t="s">
        <v>128</v>
      </c>
      <c r="CE134" s="5">
        <v>0.29722991058421988</v>
      </c>
      <c r="CF134" s="5" t="s">
        <v>128</v>
      </c>
      <c r="CG134" s="5" t="s">
        <v>128</v>
      </c>
      <c r="CH134" s="5" t="s">
        <v>128</v>
      </c>
      <c r="CI134" s="5" t="s">
        <v>395</v>
      </c>
      <c r="CJ134" s="5" t="s">
        <v>395</v>
      </c>
      <c r="CK134" s="5" t="s">
        <v>395</v>
      </c>
      <c r="CL134" s="5" t="s">
        <v>395</v>
      </c>
      <c r="CM134" s="5" t="s">
        <v>395</v>
      </c>
      <c r="CN134" s="5" t="s">
        <v>395</v>
      </c>
      <c r="CO134" s="5" t="s">
        <v>395</v>
      </c>
      <c r="CP134" s="5" t="s">
        <v>395</v>
      </c>
      <c r="CQ134" s="5" t="s">
        <v>395</v>
      </c>
      <c r="CR134" s="5" t="s">
        <v>395</v>
      </c>
      <c r="CS134" s="5" t="s">
        <v>395</v>
      </c>
      <c r="CT134" s="5" t="s">
        <v>395</v>
      </c>
      <c r="CU134" s="5" t="s">
        <v>395</v>
      </c>
      <c r="CV134" s="5" t="s">
        <v>395</v>
      </c>
      <c r="CW134" s="5" t="s">
        <v>395</v>
      </c>
      <c r="CX134" s="5" t="s">
        <v>395</v>
      </c>
      <c r="CY134" s="252" t="s">
        <v>395</v>
      </c>
    </row>
    <row r="135" spans="1:103" x14ac:dyDescent="0.3">
      <c r="A135" s="98" t="s">
        <v>7</v>
      </c>
      <c r="B135" s="98" t="s">
        <v>7</v>
      </c>
      <c r="C135" s="132" t="s">
        <v>19</v>
      </c>
      <c r="D135" s="132"/>
      <c r="E135" s="98"/>
      <c r="F135" s="98"/>
      <c r="G135" s="245">
        <v>43334</v>
      </c>
      <c r="H135" s="1">
        <v>2018</v>
      </c>
      <c r="I135" s="75" t="s">
        <v>33</v>
      </c>
      <c r="J135" s="75">
        <v>12</v>
      </c>
      <c r="K135" s="155">
        <v>0.19475701743537557</v>
      </c>
      <c r="L135" s="5">
        <v>3.1048805815160994</v>
      </c>
      <c r="M135" s="5">
        <v>3.3443509615384615E-2</v>
      </c>
      <c r="N135" s="5">
        <v>0.1867938701923077</v>
      </c>
      <c r="O135" s="5">
        <v>1.2864583333333333</v>
      </c>
      <c r="P135" s="5">
        <v>1.289042467948718</v>
      </c>
      <c r="Q135" s="5">
        <v>3.9413812099358978</v>
      </c>
      <c r="R135" s="5">
        <v>3.5015024038461533</v>
      </c>
      <c r="S135" s="5">
        <v>1.3199368990384617</v>
      </c>
      <c r="T135" s="5">
        <v>11.525115184294872</v>
      </c>
      <c r="U135" s="5">
        <f t="shared" si="18"/>
        <v>263.64945307732438</v>
      </c>
      <c r="V135" s="5" t="s">
        <v>60</v>
      </c>
      <c r="W135" s="5">
        <v>0.10905329303773273</v>
      </c>
      <c r="X135" s="5">
        <v>4.162210532268891E-2</v>
      </c>
      <c r="Y135" s="5">
        <v>7.7374588843606984E-2</v>
      </c>
      <c r="Z135" s="5" t="s">
        <v>60</v>
      </c>
      <c r="AA135" s="5">
        <v>2.3607455072157862E-2</v>
      </c>
      <c r="AB135" s="5">
        <v>1.4672604671521389E-2</v>
      </c>
      <c r="AC135" s="5" t="s">
        <v>65</v>
      </c>
      <c r="AD135" s="5">
        <v>0.26633004694770784</v>
      </c>
      <c r="AE135" s="5">
        <f t="shared" si="16"/>
        <v>0.2663300469477079</v>
      </c>
      <c r="AF135" s="5">
        <v>0.11</v>
      </c>
      <c r="AG135" s="250">
        <f>(AF135/K135)*5</f>
        <v>2.8240317460319568</v>
      </c>
      <c r="AH135" s="250">
        <v>2.6906177306797621</v>
      </c>
      <c r="AI135" s="5" t="s">
        <v>69</v>
      </c>
      <c r="AJ135" s="5" t="s">
        <v>69</v>
      </c>
      <c r="AK135" s="5" t="s">
        <v>56</v>
      </c>
      <c r="AL135" s="5">
        <v>0.22055656069613164</v>
      </c>
      <c r="AM135" s="5" t="s">
        <v>65</v>
      </c>
      <c r="AN135" s="5">
        <v>0.34625656931162224</v>
      </c>
      <c r="AO135" s="5">
        <v>0.31762442204416869</v>
      </c>
      <c r="AP135" s="5" t="s">
        <v>71</v>
      </c>
      <c r="AQ135" s="5">
        <v>0.29726314580282009</v>
      </c>
      <c r="AR135" s="5">
        <v>0.13838488268573562</v>
      </c>
      <c r="AS135" s="5" t="s">
        <v>395</v>
      </c>
      <c r="AT135" s="5" t="s">
        <v>395</v>
      </c>
      <c r="AU135" s="5" t="s">
        <v>395</v>
      </c>
      <c r="AV135" s="5" t="s">
        <v>395</v>
      </c>
      <c r="AW135" s="5" t="s">
        <v>395</v>
      </c>
      <c r="AX135" s="5" t="s">
        <v>395</v>
      </c>
      <c r="AY135" s="5" t="s">
        <v>395</v>
      </c>
      <c r="AZ135" s="5" t="s">
        <v>395</v>
      </c>
      <c r="BA135" s="5" t="s">
        <v>395</v>
      </c>
      <c r="BB135" s="5" t="s">
        <v>395</v>
      </c>
      <c r="BC135" s="5">
        <v>110</v>
      </c>
      <c r="BD135" s="5" t="s">
        <v>69</v>
      </c>
      <c r="BE135" s="5" t="s">
        <v>65</v>
      </c>
      <c r="BF135" s="5">
        <v>0.11992872807017541</v>
      </c>
      <c r="BG135" s="5" t="s">
        <v>69</v>
      </c>
      <c r="BH135" s="5">
        <v>0.1209566885964912</v>
      </c>
      <c r="BI135" s="5">
        <v>15.220908717105264</v>
      </c>
      <c r="BJ135" s="5">
        <v>7.2399259868421053</v>
      </c>
      <c r="BK135" s="5" t="s">
        <v>71</v>
      </c>
      <c r="BL135" s="5">
        <v>7.1628632127192988</v>
      </c>
      <c r="BM135" s="5">
        <v>0.30800095942982458</v>
      </c>
      <c r="BN135" s="5">
        <v>110</v>
      </c>
      <c r="BO135" s="5">
        <v>8.6041031748993202</v>
      </c>
      <c r="BP135" s="5" t="s">
        <v>396</v>
      </c>
      <c r="BQ135" s="5" t="s">
        <v>69</v>
      </c>
      <c r="BR135" s="5">
        <v>10.134069264602326</v>
      </c>
      <c r="BS135" s="5" t="s">
        <v>69</v>
      </c>
      <c r="BT135" s="5">
        <v>4.9002545579458987</v>
      </c>
      <c r="BU135" s="5" t="s">
        <v>397</v>
      </c>
      <c r="BV135" s="5" t="s">
        <v>128</v>
      </c>
      <c r="BW135" s="5" t="s">
        <v>128</v>
      </c>
      <c r="BX135" s="5">
        <v>0.49815478449815925</v>
      </c>
      <c r="BY135" s="5">
        <v>1.0733534955207105</v>
      </c>
      <c r="BZ135" s="5">
        <v>2.0290723160295001</v>
      </c>
      <c r="CA135" s="5" t="s">
        <v>128</v>
      </c>
      <c r="CB135" s="5">
        <v>0.1882620640084588</v>
      </c>
      <c r="CC135" s="5">
        <v>9.6848002116386294</v>
      </c>
      <c r="CD135" s="5" t="s">
        <v>128</v>
      </c>
      <c r="CE135" s="5">
        <v>1.0108297661485108</v>
      </c>
      <c r="CF135" s="5" t="s">
        <v>128</v>
      </c>
      <c r="CG135" s="5" t="s">
        <v>128</v>
      </c>
      <c r="CH135" s="5" t="s">
        <v>128</v>
      </c>
      <c r="CI135" s="5" t="s">
        <v>395</v>
      </c>
      <c r="CJ135" s="5" t="s">
        <v>395</v>
      </c>
      <c r="CK135" s="5" t="s">
        <v>395</v>
      </c>
      <c r="CL135" s="5" t="s">
        <v>395</v>
      </c>
      <c r="CM135" s="5" t="s">
        <v>395</v>
      </c>
      <c r="CN135" s="5" t="s">
        <v>395</v>
      </c>
      <c r="CO135" s="5" t="s">
        <v>395</v>
      </c>
      <c r="CP135" s="5" t="s">
        <v>395</v>
      </c>
      <c r="CQ135" s="5" t="s">
        <v>395</v>
      </c>
      <c r="CR135" s="5" t="s">
        <v>395</v>
      </c>
      <c r="CS135" s="5" t="s">
        <v>395</v>
      </c>
      <c r="CT135" s="5" t="s">
        <v>395</v>
      </c>
      <c r="CU135" s="5" t="s">
        <v>395</v>
      </c>
      <c r="CV135" s="5" t="s">
        <v>395</v>
      </c>
      <c r="CW135" s="5" t="s">
        <v>395</v>
      </c>
      <c r="CX135" s="5" t="s">
        <v>395</v>
      </c>
      <c r="CY135" s="252" t="s">
        <v>395</v>
      </c>
    </row>
    <row r="136" spans="1:103" x14ac:dyDescent="0.3">
      <c r="A136" s="98" t="s">
        <v>8</v>
      </c>
      <c r="B136" s="98" t="s">
        <v>8</v>
      </c>
      <c r="C136" s="132" t="s">
        <v>19</v>
      </c>
      <c r="D136" s="132"/>
      <c r="E136" s="98"/>
      <c r="F136" s="98"/>
      <c r="G136" s="245">
        <v>43334</v>
      </c>
      <c r="H136" s="1">
        <v>2018</v>
      </c>
      <c r="I136" s="75" t="s">
        <v>33</v>
      </c>
      <c r="J136" s="75">
        <v>11</v>
      </c>
      <c r="K136" s="155">
        <v>0.23712415820924732</v>
      </c>
      <c r="L136" s="5">
        <v>3.2128514056224877</v>
      </c>
      <c r="M136" s="5" t="s">
        <v>62</v>
      </c>
      <c r="N136" s="5">
        <v>5.5980098541203747E-2</v>
      </c>
      <c r="O136" s="5">
        <v>0.55810066660226065</v>
      </c>
      <c r="P136" s="5">
        <v>0.54307796348178916</v>
      </c>
      <c r="Q136" s="5">
        <v>2.3768090039609695</v>
      </c>
      <c r="R136" s="5">
        <v>1.8690947734518404</v>
      </c>
      <c r="S136" s="5">
        <v>0.9400106269925611</v>
      </c>
      <c r="T136" s="5">
        <v>6.3430731330306243</v>
      </c>
      <c r="U136" s="5">
        <f t="shared" si="18"/>
        <v>122.29869814510212</v>
      </c>
      <c r="V136" s="5" t="s">
        <v>60</v>
      </c>
      <c r="W136" s="5">
        <v>8.5320401868538995E-2</v>
      </c>
      <c r="X136" s="5">
        <v>2.7288006481420379E-2</v>
      </c>
      <c r="Y136" s="5">
        <v>3.5716764272918165E-2</v>
      </c>
      <c r="Z136" s="5" t="s">
        <v>60</v>
      </c>
      <c r="AA136" s="5" t="s">
        <v>66</v>
      </c>
      <c r="AB136" s="5" t="s">
        <v>60</v>
      </c>
      <c r="AC136" s="5" t="s">
        <v>65</v>
      </c>
      <c r="AD136" s="5">
        <v>0.14832517262287753</v>
      </c>
      <c r="AE136" s="5">
        <f t="shared" si="16"/>
        <v>0.14832517262287753</v>
      </c>
      <c r="AF136" s="5">
        <v>8.8947927736450581E-3</v>
      </c>
      <c r="AG136" s="250">
        <f>(AF136/K136)*5</f>
        <v>0.18755560042507263</v>
      </c>
      <c r="AH136" s="250">
        <v>1.6832380114386272</v>
      </c>
      <c r="AI136" s="5" t="s">
        <v>69</v>
      </c>
      <c r="AJ136" s="5" t="s">
        <v>69</v>
      </c>
      <c r="AK136" s="5" t="s">
        <v>56</v>
      </c>
      <c r="AL136" s="5" t="s">
        <v>65</v>
      </c>
      <c r="AM136" s="5" t="s">
        <v>65</v>
      </c>
      <c r="AN136" s="5" t="s">
        <v>65</v>
      </c>
      <c r="AO136" s="5" t="s">
        <v>69</v>
      </c>
      <c r="AP136" s="5" t="s">
        <v>71</v>
      </c>
      <c r="AQ136" s="5">
        <v>0.12673412523830471</v>
      </c>
      <c r="AR136" s="5">
        <v>9.1177592022290657E-2</v>
      </c>
      <c r="AS136" s="5" t="s">
        <v>395</v>
      </c>
      <c r="AT136" s="5" t="s">
        <v>395</v>
      </c>
      <c r="AU136" s="5" t="s">
        <v>395</v>
      </c>
      <c r="AV136" s="5" t="s">
        <v>395</v>
      </c>
      <c r="AW136" s="5" t="s">
        <v>395</v>
      </c>
      <c r="AX136" s="5" t="s">
        <v>395</v>
      </c>
      <c r="AY136" s="5" t="s">
        <v>395</v>
      </c>
      <c r="AZ136" s="5" t="s">
        <v>395</v>
      </c>
      <c r="BA136" s="5" t="s">
        <v>395</v>
      </c>
      <c r="BB136" s="5" t="s">
        <v>395</v>
      </c>
      <c r="BC136" s="5">
        <v>49.335614170621341</v>
      </c>
      <c r="BD136" s="5" t="s">
        <v>69</v>
      </c>
      <c r="BE136" s="5" t="s">
        <v>65</v>
      </c>
      <c r="BF136" s="5" t="s">
        <v>56</v>
      </c>
      <c r="BG136" s="5" t="s">
        <v>69</v>
      </c>
      <c r="BH136" s="5">
        <v>6.8057241658389417E-2</v>
      </c>
      <c r="BI136" s="5">
        <v>6.0996578744067991</v>
      </c>
      <c r="BJ136" s="5">
        <v>1.3387043372696168</v>
      </c>
      <c r="BK136" s="5" t="s">
        <v>71</v>
      </c>
      <c r="BL136" s="5">
        <v>3.4521943861972555</v>
      </c>
      <c r="BM136" s="5">
        <v>0.16623257182798071</v>
      </c>
      <c r="BN136" s="5">
        <v>90</v>
      </c>
      <c r="BO136" s="5">
        <v>7.7097330290307324</v>
      </c>
      <c r="BP136" s="5" t="s">
        <v>396</v>
      </c>
      <c r="BQ136" s="5">
        <v>1.6761666998479086</v>
      </c>
      <c r="BR136" s="5" t="s">
        <v>161</v>
      </c>
      <c r="BS136" s="5">
        <v>3.6632518118324708</v>
      </c>
      <c r="BT136" s="5" t="s">
        <v>397</v>
      </c>
      <c r="BU136" s="5">
        <v>2.383050507567205</v>
      </c>
      <c r="BV136" s="5" t="s">
        <v>128</v>
      </c>
      <c r="BW136" s="5" t="s">
        <v>128</v>
      </c>
      <c r="BX136" s="5" t="s">
        <v>128</v>
      </c>
      <c r="BY136" s="5">
        <v>0.30393927189143943</v>
      </c>
      <c r="BZ136" s="5" t="s">
        <v>128</v>
      </c>
      <c r="CA136" s="5" t="s">
        <v>128</v>
      </c>
      <c r="CB136" s="5" t="s">
        <v>128</v>
      </c>
      <c r="CC136" s="5">
        <v>14.049977164756505</v>
      </c>
      <c r="CD136" s="5" t="s">
        <v>128</v>
      </c>
      <c r="CE136" s="5">
        <v>0.40168947421446194</v>
      </c>
      <c r="CF136" s="5" t="s">
        <v>128</v>
      </c>
      <c r="CG136" s="5" t="s">
        <v>128</v>
      </c>
      <c r="CH136" s="5" t="s">
        <v>128</v>
      </c>
      <c r="CI136" s="5" t="s">
        <v>395</v>
      </c>
      <c r="CJ136" s="5" t="s">
        <v>395</v>
      </c>
      <c r="CK136" s="5" t="s">
        <v>395</v>
      </c>
      <c r="CL136" s="5" t="s">
        <v>395</v>
      </c>
      <c r="CM136" s="5" t="s">
        <v>395</v>
      </c>
      <c r="CN136" s="5" t="s">
        <v>395</v>
      </c>
      <c r="CO136" s="5" t="s">
        <v>395</v>
      </c>
      <c r="CP136" s="5" t="s">
        <v>395</v>
      </c>
      <c r="CQ136" s="5" t="s">
        <v>395</v>
      </c>
      <c r="CR136" s="5" t="s">
        <v>395</v>
      </c>
      <c r="CS136" s="5" t="s">
        <v>395</v>
      </c>
      <c r="CT136" s="5" t="s">
        <v>395</v>
      </c>
      <c r="CU136" s="5" t="s">
        <v>395</v>
      </c>
      <c r="CV136" s="5" t="s">
        <v>395</v>
      </c>
      <c r="CW136" s="5" t="s">
        <v>395</v>
      </c>
      <c r="CX136" s="5" t="s">
        <v>395</v>
      </c>
      <c r="CY136" s="252" t="s">
        <v>395</v>
      </c>
    </row>
    <row r="137" spans="1:103" x14ac:dyDescent="0.3">
      <c r="A137" s="98" t="s">
        <v>32</v>
      </c>
      <c r="B137" s="98" t="s">
        <v>32</v>
      </c>
      <c r="C137" s="132" t="s">
        <v>31</v>
      </c>
      <c r="D137" s="132"/>
      <c r="E137" s="98"/>
      <c r="F137" s="98"/>
      <c r="G137" s="245" t="s">
        <v>31</v>
      </c>
      <c r="H137" s="1">
        <v>2017</v>
      </c>
      <c r="I137" s="75" t="s">
        <v>3</v>
      </c>
      <c r="J137" s="75" t="s">
        <v>158</v>
      </c>
      <c r="K137" s="155" t="s">
        <v>395</v>
      </c>
      <c r="L137" s="5" t="s">
        <v>395</v>
      </c>
      <c r="M137" s="5">
        <v>1.4999999999999999E-2</v>
      </c>
      <c r="N137" s="5">
        <v>2.3E-2</v>
      </c>
      <c r="O137" s="5">
        <v>0.01</v>
      </c>
      <c r="P137" s="5">
        <v>0.01</v>
      </c>
      <c r="Q137" s="5">
        <v>5.0000000000000001E-3</v>
      </c>
      <c r="R137" s="5">
        <v>0.01</v>
      </c>
      <c r="S137" s="5">
        <v>5.0000000000000001E-3</v>
      </c>
      <c r="T137" s="5" t="s">
        <v>395</v>
      </c>
      <c r="U137" s="5" t="s">
        <v>395</v>
      </c>
      <c r="V137" s="5">
        <v>1.2999999999999999E-2</v>
      </c>
      <c r="W137" s="5">
        <v>0.01</v>
      </c>
      <c r="X137" s="5">
        <v>1.2999999999999999E-2</v>
      </c>
      <c r="Y137" s="5">
        <v>1.4999999999999999E-2</v>
      </c>
      <c r="Z137" s="5">
        <v>0.01</v>
      </c>
      <c r="AA137" s="5">
        <v>0.02</v>
      </c>
      <c r="AB137" s="5">
        <v>1.2999999999999999E-2</v>
      </c>
      <c r="AC137" s="5">
        <v>0.1</v>
      </c>
      <c r="AD137" s="5" t="s">
        <v>395</v>
      </c>
      <c r="AE137" s="5">
        <f t="shared" si="16"/>
        <v>8.4000000000000005E-2</v>
      </c>
      <c r="AF137" s="5">
        <v>0.3</v>
      </c>
      <c r="AG137" s="250" t="s">
        <v>395</v>
      </c>
      <c r="AH137" s="250">
        <v>0.2</v>
      </c>
      <c r="AI137" s="5">
        <v>0.2</v>
      </c>
      <c r="AJ137" s="5">
        <v>0.2</v>
      </c>
      <c r="AK137" s="5">
        <v>0.02</v>
      </c>
      <c r="AL137" s="5">
        <v>0.1</v>
      </c>
      <c r="AM137" s="5">
        <v>0.1</v>
      </c>
      <c r="AN137" s="5">
        <v>0.1</v>
      </c>
      <c r="AO137" s="5">
        <v>0.02</v>
      </c>
      <c r="AP137" s="5">
        <v>0.05</v>
      </c>
      <c r="AQ137" s="5">
        <v>0.1</v>
      </c>
      <c r="AR137" s="5">
        <v>0.05</v>
      </c>
      <c r="AS137" s="5" t="s">
        <v>395</v>
      </c>
      <c r="AT137" s="5" t="s">
        <v>395</v>
      </c>
      <c r="AU137" s="5" t="s">
        <v>395</v>
      </c>
      <c r="AV137" s="5" t="s">
        <v>395</v>
      </c>
      <c r="AW137" s="5" t="s">
        <v>395</v>
      </c>
      <c r="AX137" s="5" t="s">
        <v>395</v>
      </c>
      <c r="AY137" s="5" t="s">
        <v>395</v>
      </c>
      <c r="AZ137" s="5" t="s">
        <v>395</v>
      </c>
      <c r="BA137" s="5" t="s">
        <v>395</v>
      </c>
      <c r="BB137" s="5" t="s">
        <v>395</v>
      </c>
      <c r="BC137" s="5">
        <v>0.2</v>
      </c>
      <c r="BD137" s="5">
        <v>0.2</v>
      </c>
      <c r="BE137" s="5">
        <v>0.21</v>
      </c>
      <c r="BF137" s="5">
        <v>0.02</v>
      </c>
      <c r="BG137" s="5">
        <v>0.2</v>
      </c>
      <c r="BH137" s="5">
        <v>0.05</v>
      </c>
      <c r="BI137" s="5">
        <v>0.1</v>
      </c>
      <c r="BJ137" s="5">
        <v>0.1</v>
      </c>
      <c r="BK137" s="5">
        <v>0.05</v>
      </c>
      <c r="BL137" s="5">
        <v>0.1</v>
      </c>
      <c r="BM137" s="5">
        <v>0.05</v>
      </c>
      <c r="BN137" s="5">
        <v>0.03</v>
      </c>
      <c r="BO137" s="5">
        <v>0.04</v>
      </c>
      <c r="BP137" s="5">
        <v>0.4</v>
      </c>
      <c r="BQ137" s="5">
        <v>0.1</v>
      </c>
      <c r="BR137" s="5">
        <v>2.2999999999999998</v>
      </c>
      <c r="BS137" s="5">
        <v>0.2</v>
      </c>
      <c r="BT137" s="5">
        <v>1.7</v>
      </c>
      <c r="BU137" s="5">
        <v>2.5</v>
      </c>
      <c r="BV137" s="5">
        <v>0.2</v>
      </c>
      <c r="BW137" s="5">
        <v>0.2</v>
      </c>
      <c r="BX137" s="5">
        <v>0.2</v>
      </c>
      <c r="BY137" s="5">
        <v>0.2</v>
      </c>
      <c r="BZ137" s="5">
        <v>0.2</v>
      </c>
      <c r="CA137" s="5">
        <v>0.2</v>
      </c>
      <c r="CB137" s="5">
        <v>0.2</v>
      </c>
      <c r="CC137" s="5">
        <v>0.2</v>
      </c>
      <c r="CD137" s="5">
        <v>0.5</v>
      </c>
      <c r="CE137" s="5">
        <v>0.2</v>
      </c>
      <c r="CF137" s="5">
        <v>0.2</v>
      </c>
      <c r="CG137" s="5">
        <v>0.2</v>
      </c>
      <c r="CH137" s="5">
        <v>0.2</v>
      </c>
      <c r="CI137" s="5" t="s">
        <v>395</v>
      </c>
      <c r="CJ137" s="5" t="s">
        <v>395</v>
      </c>
      <c r="CK137" s="5" t="s">
        <v>395</v>
      </c>
      <c r="CL137" s="5" t="s">
        <v>395</v>
      </c>
      <c r="CM137" s="5" t="s">
        <v>395</v>
      </c>
      <c r="CN137" s="5" t="s">
        <v>395</v>
      </c>
      <c r="CO137" s="5" t="s">
        <v>395</v>
      </c>
      <c r="CP137" s="5" t="s">
        <v>395</v>
      </c>
      <c r="CQ137" s="5" t="s">
        <v>395</v>
      </c>
      <c r="CR137" s="5" t="s">
        <v>395</v>
      </c>
      <c r="CS137" s="5" t="s">
        <v>395</v>
      </c>
      <c r="CT137" s="5" t="s">
        <v>395</v>
      </c>
      <c r="CU137" s="5" t="s">
        <v>395</v>
      </c>
      <c r="CV137" s="5" t="s">
        <v>395</v>
      </c>
      <c r="CW137" s="5" t="s">
        <v>395</v>
      </c>
      <c r="CX137" s="5" t="s">
        <v>395</v>
      </c>
      <c r="CY137" s="252" t="s">
        <v>395</v>
      </c>
    </row>
    <row r="138" spans="1:103" x14ac:dyDescent="0.3">
      <c r="A138" s="98" t="s">
        <v>4</v>
      </c>
      <c r="B138" s="98" t="s">
        <v>4</v>
      </c>
      <c r="C138" s="132" t="s">
        <v>20</v>
      </c>
      <c r="D138" s="132"/>
      <c r="E138" s="98"/>
      <c r="F138" s="98"/>
      <c r="G138" s="245">
        <v>42972</v>
      </c>
      <c r="H138" s="1">
        <v>2017</v>
      </c>
      <c r="I138" s="75" t="s">
        <v>33</v>
      </c>
      <c r="J138" s="75">
        <v>10</v>
      </c>
      <c r="K138" s="155">
        <v>1.0017439266740096</v>
      </c>
      <c r="L138" s="5">
        <v>3.963198867657407</v>
      </c>
      <c r="M138" s="5">
        <v>0.38505105900151287</v>
      </c>
      <c r="N138" s="5">
        <v>0.86286403177004534</v>
      </c>
      <c r="O138" s="5">
        <v>1.9087651285930409</v>
      </c>
      <c r="P138" s="5">
        <v>1.4936838124054463</v>
      </c>
      <c r="Q138" s="5">
        <v>2.3789759833585475</v>
      </c>
      <c r="R138" s="5">
        <v>2.476645234493192</v>
      </c>
      <c r="S138" s="5">
        <v>0.72621974281391832</v>
      </c>
      <c r="T138" s="5">
        <v>10.232204992435705</v>
      </c>
      <c r="U138" s="5">
        <f t="shared" si="18"/>
        <v>43.616541849392085</v>
      </c>
      <c r="V138" s="5" t="s">
        <v>60</v>
      </c>
      <c r="W138" s="5">
        <v>0.11424786112344715</v>
      </c>
      <c r="X138" s="5">
        <v>2.8353279637652096E-2</v>
      </c>
      <c r="Y138" s="5">
        <v>0.13238763639965007</v>
      </c>
      <c r="Z138" s="5">
        <v>1.814435125415606E-2</v>
      </c>
      <c r="AA138" s="5" t="s">
        <v>56</v>
      </c>
      <c r="AB138" s="5">
        <v>1.8173082622835412E-2</v>
      </c>
      <c r="AC138" s="5" t="s">
        <v>395</v>
      </c>
      <c r="AD138" s="5" t="s">
        <v>395</v>
      </c>
      <c r="AE138" s="5">
        <f t="shared" si="16"/>
        <v>0.29316185978358472</v>
      </c>
      <c r="AF138" s="5" t="s">
        <v>70</v>
      </c>
      <c r="AG138" s="250" t="s">
        <v>395</v>
      </c>
      <c r="AH138" s="250">
        <v>13.96996596955336</v>
      </c>
      <c r="AI138" s="5" t="s">
        <v>69</v>
      </c>
      <c r="AJ138" s="5" t="s">
        <v>69</v>
      </c>
      <c r="AK138" s="5" t="s">
        <v>56</v>
      </c>
      <c r="AL138" s="5" t="s">
        <v>65</v>
      </c>
      <c r="AM138" s="5" t="s">
        <v>65</v>
      </c>
      <c r="AN138" s="5">
        <v>0.47909368393338519</v>
      </c>
      <c r="AO138" s="5">
        <v>0.12785781089131476</v>
      </c>
      <c r="AP138" s="5" t="s">
        <v>71</v>
      </c>
      <c r="AQ138" s="5">
        <v>0.40086082097470116</v>
      </c>
      <c r="AR138" s="5">
        <v>5.9450031043940935E-2</v>
      </c>
      <c r="AS138" s="5" t="s">
        <v>395</v>
      </c>
      <c r="AT138" s="5" t="s">
        <v>395</v>
      </c>
      <c r="AU138" s="5" t="s">
        <v>395</v>
      </c>
      <c r="AV138" s="5" t="s">
        <v>395</v>
      </c>
      <c r="AW138" s="5" t="s">
        <v>395</v>
      </c>
      <c r="AX138" s="5" t="s">
        <v>395</v>
      </c>
      <c r="AY138" s="5" t="s">
        <v>395</v>
      </c>
      <c r="AZ138" s="5" t="s">
        <v>395</v>
      </c>
      <c r="BA138" s="5" t="s">
        <v>395</v>
      </c>
      <c r="BB138" s="5" t="s">
        <v>395</v>
      </c>
      <c r="BC138" s="5">
        <v>200</v>
      </c>
      <c r="BD138" s="5" t="s">
        <v>69</v>
      </c>
      <c r="BE138" s="5" t="s">
        <v>65</v>
      </c>
      <c r="BF138" s="5">
        <v>0.42399999999999999</v>
      </c>
      <c r="BG138" s="5" t="s">
        <v>69</v>
      </c>
      <c r="BH138" s="5">
        <v>0.44139515279241309</v>
      </c>
      <c r="BI138" s="5">
        <v>7.2784931506849313</v>
      </c>
      <c r="BJ138" s="5">
        <v>2.08</v>
      </c>
      <c r="BK138" s="5" t="s">
        <v>71</v>
      </c>
      <c r="BL138" s="5">
        <v>5.6167123287671235</v>
      </c>
      <c r="BM138" s="5">
        <v>0.21631401475237091</v>
      </c>
      <c r="BN138" s="5">
        <v>88</v>
      </c>
      <c r="BO138" s="5">
        <v>1.4098738861549749</v>
      </c>
      <c r="BP138" s="5">
        <v>1.2216774031039999</v>
      </c>
      <c r="BQ138" s="5">
        <v>0.50420471765517094</v>
      </c>
      <c r="BR138" s="5">
        <v>10.312670270675087</v>
      </c>
      <c r="BS138" s="5" t="s">
        <v>69</v>
      </c>
      <c r="BT138" s="5">
        <v>6.766200283945385</v>
      </c>
      <c r="BU138" s="5">
        <v>5.3492408569426493</v>
      </c>
      <c r="BV138" s="5" t="s">
        <v>69</v>
      </c>
      <c r="BW138" s="5" t="s">
        <v>69</v>
      </c>
      <c r="BX138" s="5">
        <v>1.0413250783549901</v>
      </c>
      <c r="BY138" s="5">
        <v>0.90188657518862725</v>
      </c>
      <c r="BZ138" s="5">
        <v>3.2612570967417902</v>
      </c>
      <c r="CA138" s="5" t="s">
        <v>69</v>
      </c>
      <c r="CB138" s="5" t="s">
        <v>69</v>
      </c>
      <c r="CC138" s="5" t="s">
        <v>69</v>
      </c>
      <c r="CD138" s="5">
        <v>0.39737139673571137</v>
      </c>
      <c r="CE138" s="5">
        <v>3.2062937451879505</v>
      </c>
      <c r="CF138" s="5" t="s">
        <v>69</v>
      </c>
      <c r="CG138" s="5" t="s">
        <v>69</v>
      </c>
      <c r="CH138" s="5" t="s">
        <v>69</v>
      </c>
      <c r="CI138" s="5" t="s">
        <v>395</v>
      </c>
      <c r="CJ138" s="5" t="s">
        <v>395</v>
      </c>
      <c r="CK138" s="5" t="s">
        <v>395</v>
      </c>
      <c r="CL138" s="5" t="s">
        <v>395</v>
      </c>
      <c r="CM138" s="5" t="s">
        <v>395</v>
      </c>
      <c r="CN138" s="5" t="s">
        <v>395</v>
      </c>
      <c r="CO138" s="5" t="s">
        <v>395</v>
      </c>
      <c r="CP138" s="5" t="s">
        <v>395</v>
      </c>
      <c r="CQ138" s="5" t="s">
        <v>395</v>
      </c>
      <c r="CR138" s="5" t="s">
        <v>395</v>
      </c>
      <c r="CS138" s="5" t="s">
        <v>395</v>
      </c>
      <c r="CT138" s="5" t="s">
        <v>395</v>
      </c>
      <c r="CU138" s="5" t="s">
        <v>395</v>
      </c>
      <c r="CV138" s="5" t="s">
        <v>395</v>
      </c>
      <c r="CW138" s="5" t="s">
        <v>395</v>
      </c>
      <c r="CX138" s="5" t="s">
        <v>395</v>
      </c>
      <c r="CY138" s="252" t="s">
        <v>395</v>
      </c>
    </row>
    <row r="139" spans="1:103" x14ac:dyDescent="0.3">
      <c r="A139" s="98" t="s">
        <v>82</v>
      </c>
      <c r="B139" s="98" t="s">
        <v>82</v>
      </c>
      <c r="C139" s="132" t="s">
        <v>20</v>
      </c>
      <c r="D139" s="132"/>
      <c r="E139" s="98"/>
      <c r="F139" s="98"/>
      <c r="G139" s="245">
        <v>42974</v>
      </c>
      <c r="H139" s="1">
        <v>2017</v>
      </c>
      <c r="I139" s="75" t="s">
        <v>33</v>
      </c>
      <c r="J139" s="75">
        <v>10</v>
      </c>
      <c r="K139" s="155">
        <v>0.84397163120565966</v>
      </c>
      <c r="L139" s="5">
        <v>5.7117117117116827</v>
      </c>
      <c r="M139" s="6">
        <v>0.40412450611930228</v>
      </c>
      <c r="N139" s="6">
        <v>0.85238026404548517</v>
      </c>
      <c r="O139" s="6">
        <v>2.8678905271273005</v>
      </c>
      <c r="P139" s="6">
        <v>2.1854004047412547</v>
      </c>
      <c r="Q139" s="6">
        <v>4.5955815746362143</v>
      </c>
      <c r="R139" s="6">
        <v>4.2550544473354526</v>
      </c>
      <c r="S139" s="6">
        <v>1.9516141466705212</v>
      </c>
      <c r="T139" s="6">
        <v>17.112045870675534</v>
      </c>
      <c r="U139" s="5">
        <f t="shared" si="18"/>
        <v>88.430966835998674</v>
      </c>
      <c r="V139" s="6" t="s">
        <v>60</v>
      </c>
      <c r="W139" s="6">
        <v>0.15222446627406813</v>
      </c>
      <c r="X139" s="6">
        <v>6.388941447891397E-2</v>
      </c>
      <c r="Y139" s="6">
        <v>7.6815567958729944E-2</v>
      </c>
      <c r="Z139" s="6">
        <v>1.3629488301511847E-2</v>
      </c>
      <c r="AA139" s="6">
        <v>2.311500386978857E-2</v>
      </c>
      <c r="AB139" s="6">
        <v>2.290590432820331E-2</v>
      </c>
      <c r="AC139" s="6" t="s">
        <v>395</v>
      </c>
      <c r="AD139" s="6" t="s">
        <v>395</v>
      </c>
      <c r="AE139" s="5">
        <f t="shared" si="16"/>
        <v>0.33895035690970388</v>
      </c>
      <c r="AF139" s="6" t="s">
        <v>70</v>
      </c>
      <c r="AG139" s="250" t="s">
        <v>395</v>
      </c>
      <c r="AH139" s="253">
        <v>5.0439121756487024</v>
      </c>
      <c r="AI139" s="6" t="s">
        <v>69</v>
      </c>
      <c r="AJ139" s="6" t="s">
        <v>69</v>
      </c>
      <c r="AK139" s="6" t="s">
        <v>56</v>
      </c>
      <c r="AL139" s="6" t="s">
        <v>65</v>
      </c>
      <c r="AM139" s="6" t="s">
        <v>65</v>
      </c>
      <c r="AN139" s="6">
        <v>0.15537924151696605</v>
      </c>
      <c r="AO139" s="6">
        <v>3.3932135728542916E-2</v>
      </c>
      <c r="AP139" s="6" t="s">
        <v>71</v>
      </c>
      <c r="AQ139" s="6">
        <v>0.22111776447105788</v>
      </c>
      <c r="AR139" s="6">
        <v>8.8223552894211577E-2</v>
      </c>
      <c r="AS139" s="5" t="s">
        <v>395</v>
      </c>
      <c r="AT139" s="5" t="s">
        <v>395</v>
      </c>
      <c r="AU139" s="5" t="s">
        <v>395</v>
      </c>
      <c r="AV139" s="5" t="s">
        <v>395</v>
      </c>
      <c r="AW139" s="5" t="s">
        <v>395</v>
      </c>
      <c r="AX139" s="5" t="s">
        <v>395</v>
      </c>
      <c r="AY139" s="5" t="s">
        <v>395</v>
      </c>
      <c r="AZ139" s="5" t="s">
        <v>395</v>
      </c>
      <c r="BA139" s="5" t="s">
        <v>395</v>
      </c>
      <c r="BB139" s="5" t="s">
        <v>395</v>
      </c>
      <c r="BC139" s="6">
        <v>92.8</v>
      </c>
      <c r="BD139" s="6" t="s">
        <v>69</v>
      </c>
      <c r="BE139" s="6">
        <v>0.14780265725169561</v>
      </c>
      <c r="BF139" s="6">
        <v>0.59799999999999998</v>
      </c>
      <c r="BG139" s="6" t="s">
        <v>69</v>
      </c>
      <c r="BH139" s="6">
        <v>0.58801821053609582</v>
      </c>
      <c r="BI139" s="6">
        <v>4.856722103502741</v>
      </c>
      <c r="BJ139" s="6">
        <v>1.42</v>
      </c>
      <c r="BK139" s="6" t="s">
        <v>71</v>
      </c>
      <c r="BL139" s="6">
        <v>4.227687447737619</v>
      </c>
      <c r="BM139" s="6">
        <v>0.37840936541856357</v>
      </c>
      <c r="BN139" s="6">
        <v>170</v>
      </c>
      <c r="BO139" s="6">
        <v>3.7624004719882644</v>
      </c>
      <c r="BP139" s="6">
        <v>7.8707427292704137</v>
      </c>
      <c r="BQ139" s="6">
        <v>1.7584638960296295</v>
      </c>
      <c r="BR139" s="6">
        <v>30.164602257370525</v>
      </c>
      <c r="BS139" s="6" t="s">
        <v>69</v>
      </c>
      <c r="BT139" s="6">
        <v>35.690011421399547</v>
      </c>
      <c r="BU139" s="6">
        <v>8.9233797213010924</v>
      </c>
      <c r="BV139" s="6">
        <v>0.63484220279747672</v>
      </c>
      <c r="BW139" s="6">
        <v>0.653732724013382</v>
      </c>
      <c r="BX139" s="6">
        <v>4.8717100444812553</v>
      </c>
      <c r="BY139" s="6">
        <v>3.8344688375677043</v>
      </c>
      <c r="BZ139" s="6">
        <v>2.1170775053431505</v>
      </c>
      <c r="CA139" s="6" t="s">
        <v>69</v>
      </c>
      <c r="CB139" s="6">
        <v>0.77533309429359543</v>
      </c>
      <c r="CC139" s="6" t="s">
        <v>69</v>
      </c>
      <c r="CD139" s="6">
        <v>0.72246374011759229</v>
      </c>
      <c r="CE139" s="6">
        <v>5.6576202427395055</v>
      </c>
      <c r="CF139" s="6" t="s">
        <v>69</v>
      </c>
      <c r="CG139" s="6" t="s">
        <v>69</v>
      </c>
      <c r="CH139" s="6" t="s">
        <v>69</v>
      </c>
      <c r="CI139" s="5" t="s">
        <v>395</v>
      </c>
      <c r="CJ139" s="5" t="s">
        <v>395</v>
      </c>
      <c r="CK139" s="5" t="s">
        <v>395</v>
      </c>
      <c r="CL139" s="5" t="s">
        <v>395</v>
      </c>
      <c r="CM139" s="5" t="s">
        <v>395</v>
      </c>
      <c r="CN139" s="5" t="s">
        <v>395</v>
      </c>
      <c r="CO139" s="5" t="s">
        <v>395</v>
      </c>
      <c r="CP139" s="5" t="s">
        <v>395</v>
      </c>
      <c r="CQ139" s="5" t="s">
        <v>395</v>
      </c>
      <c r="CR139" s="5" t="s">
        <v>395</v>
      </c>
      <c r="CS139" s="5" t="s">
        <v>395</v>
      </c>
      <c r="CT139" s="5" t="s">
        <v>395</v>
      </c>
      <c r="CU139" s="5" t="s">
        <v>395</v>
      </c>
      <c r="CV139" s="5" t="s">
        <v>395</v>
      </c>
      <c r="CW139" s="5" t="s">
        <v>395</v>
      </c>
      <c r="CX139" s="5" t="s">
        <v>395</v>
      </c>
      <c r="CY139" s="252" t="s">
        <v>395</v>
      </c>
    </row>
    <row r="140" spans="1:103" x14ac:dyDescent="0.3">
      <c r="A140" s="98" t="s">
        <v>112</v>
      </c>
      <c r="B140" s="98" t="s">
        <v>24</v>
      </c>
      <c r="C140" s="132" t="s">
        <v>20</v>
      </c>
      <c r="D140" s="132"/>
      <c r="E140" s="98"/>
      <c r="F140" s="98"/>
      <c r="G140" s="245">
        <v>42968</v>
      </c>
      <c r="H140" s="1">
        <v>2017</v>
      </c>
      <c r="I140" s="75" t="s">
        <v>33</v>
      </c>
      <c r="J140" s="75">
        <v>10</v>
      </c>
      <c r="K140" s="155">
        <v>0.71412876290924521</v>
      </c>
      <c r="L140" s="5">
        <v>5.2290076335878037</v>
      </c>
      <c r="M140" s="6">
        <v>0.52636707098826807</v>
      </c>
      <c r="N140" s="6">
        <v>1.0365231656392921</v>
      </c>
      <c r="O140" s="6">
        <v>2.4791509246371048</v>
      </c>
      <c r="P140" s="6">
        <v>2.0918174587393121</v>
      </c>
      <c r="Q140" s="6">
        <v>3.6029081328295884</v>
      </c>
      <c r="R140" s="6">
        <v>3.4178067210180951</v>
      </c>
      <c r="S140" s="6">
        <v>1.3863094054483993</v>
      </c>
      <c r="T140" s="6">
        <v>14.54088287930006</v>
      </c>
      <c r="U140" s="5">
        <f t="shared" si="18"/>
        <v>87.162610352265233</v>
      </c>
      <c r="V140" s="6" t="s">
        <v>60</v>
      </c>
      <c r="W140" s="6">
        <v>0.16378591113790711</v>
      </c>
      <c r="X140" s="6">
        <v>5.528589240371367E-2</v>
      </c>
      <c r="Y140" s="6">
        <v>5.5541953379057186E-2</v>
      </c>
      <c r="Z140" s="6" t="s">
        <v>60</v>
      </c>
      <c r="AA140" s="6">
        <v>1.9693416830964955E-2</v>
      </c>
      <c r="AB140" s="6" t="s">
        <v>60</v>
      </c>
      <c r="AC140" s="6" t="s">
        <v>395</v>
      </c>
      <c r="AD140" s="6" t="s">
        <v>395</v>
      </c>
      <c r="AE140" s="5">
        <f>SUM(V140,W140,Y140,X140,AB140,AA140)</f>
        <v>0.29430717375164295</v>
      </c>
      <c r="AF140" s="6" t="s">
        <v>70</v>
      </c>
      <c r="AG140" s="250" t="s">
        <v>395</v>
      </c>
      <c r="AH140" s="253">
        <v>16.431795878312073</v>
      </c>
      <c r="AI140" s="6" t="s">
        <v>69</v>
      </c>
      <c r="AJ140" s="6" t="s">
        <v>69</v>
      </c>
      <c r="AK140" s="6">
        <v>2.19169120052339E-2</v>
      </c>
      <c r="AL140" s="6" t="s">
        <v>65</v>
      </c>
      <c r="AM140" s="6" t="s">
        <v>65</v>
      </c>
      <c r="AN140" s="6">
        <v>1.0350245338567226</v>
      </c>
      <c r="AO140" s="6">
        <v>0.23552502453385674</v>
      </c>
      <c r="AP140" s="6" t="s">
        <v>71</v>
      </c>
      <c r="AQ140" s="6">
        <v>0.92792934249263992</v>
      </c>
      <c r="AR140" s="6">
        <v>4.8478900883218837E-2</v>
      </c>
      <c r="AS140" s="5" t="s">
        <v>395</v>
      </c>
      <c r="AT140" s="5" t="s">
        <v>395</v>
      </c>
      <c r="AU140" s="5" t="s">
        <v>395</v>
      </c>
      <c r="AV140" s="5" t="s">
        <v>395</v>
      </c>
      <c r="AW140" s="5" t="s">
        <v>395</v>
      </c>
      <c r="AX140" s="5" t="s">
        <v>395</v>
      </c>
      <c r="AY140" s="5" t="s">
        <v>395</v>
      </c>
      <c r="AZ140" s="5" t="s">
        <v>395</v>
      </c>
      <c r="BA140" s="5" t="s">
        <v>395</v>
      </c>
      <c r="BB140" s="5" t="s">
        <v>395</v>
      </c>
      <c r="BC140" s="6">
        <v>213</v>
      </c>
      <c r="BD140" s="6" t="s">
        <v>69</v>
      </c>
      <c r="BE140" s="6" t="s">
        <v>65</v>
      </c>
      <c r="BF140" s="6">
        <v>0.47</v>
      </c>
      <c r="BG140" s="6" t="s">
        <v>69</v>
      </c>
      <c r="BH140" s="6">
        <v>0.57172696897374697</v>
      </c>
      <c r="BI140" s="6">
        <v>9.7253365155131242</v>
      </c>
      <c r="BJ140" s="6">
        <v>3.72</v>
      </c>
      <c r="BK140" s="6" t="s">
        <v>71</v>
      </c>
      <c r="BL140" s="6">
        <v>8.9071694510739832</v>
      </c>
      <c r="BM140" s="6">
        <v>0.24847923627684962</v>
      </c>
      <c r="BN140" s="6">
        <v>310</v>
      </c>
      <c r="BO140" s="6">
        <v>1.5470928635688512</v>
      </c>
      <c r="BP140" s="6">
        <v>1.1857210555583342</v>
      </c>
      <c r="BQ140" s="6">
        <v>0.51396705079173755</v>
      </c>
      <c r="BR140" s="6">
        <v>8.577870090022321</v>
      </c>
      <c r="BS140" s="6" t="s">
        <v>69</v>
      </c>
      <c r="BT140" s="6">
        <v>4.2280056209031889</v>
      </c>
      <c r="BU140" s="6" t="s">
        <v>164</v>
      </c>
      <c r="BV140" s="6">
        <v>0.64123531398228806</v>
      </c>
      <c r="BW140" s="6">
        <v>0.26080067244096022</v>
      </c>
      <c r="BX140" s="6">
        <v>1.3044144932466386</v>
      </c>
      <c r="BY140" s="6">
        <v>1.4848243284178557</v>
      </c>
      <c r="BZ140" s="6">
        <v>4.1993884650383499</v>
      </c>
      <c r="CA140" s="6" t="s">
        <v>69</v>
      </c>
      <c r="CB140" s="6">
        <v>0.20420406553216125</v>
      </c>
      <c r="CC140" s="6">
        <v>25.886505919185705</v>
      </c>
      <c r="CD140" s="6">
        <v>0.1940735455380852</v>
      </c>
      <c r="CE140" s="6">
        <v>1.003616196104157</v>
      </c>
      <c r="CF140" s="6" t="s">
        <v>69</v>
      </c>
      <c r="CG140" s="6" t="s">
        <v>69</v>
      </c>
      <c r="CH140" s="6" t="s">
        <v>69</v>
      </c>
      <c r="CI140" s="5" t="s">
        <v>395</v>
      </c>
      <c r="CJ140" s="5" t="s">
        <v>395</v>
      </c>
      <c r="CK140" s="5" t="s">
        <v>395</v>
      </c>
      <c r="CL140" s="5" t="s">
        <v>395</v>
      </c>
      <c r="CM140" s="5" t="s">
        <v>395</v>
      </c>
      <c r="CN140" s="5" t="s">
        <v>395</v>
      </c>
      <c r="CO140" s="5" t="s">
        <v>395</v>
      </c>
      <c r="CP140" s="5" t="s">
        <v>395</v>
      </c>
      <c r="CQ140" s="5" t="s">
        <v>395</v>
      </c>
      <c r="CR140" s="5" t="s">
        <v>395</v>
      </c>
      <c r="CS140" s="5" t="s">
        <v>395</v>
      </c>
      <c r="CT140" s="5" t="s">
        <v>395</v>
      </c>
      <c r="CU140" s="5" t="s">
        <v>395</v>
      </c>
      <c r="CV140" s="5" t="s">
        <v>395</v>
      </c>
      <c r="CW140" s="5" t="s">
        <v>395</v>
      </c>
      <c r="CX140" s="5" t="s">
        <v>395</v>
      </c>
      <c r="CY140" s="252" t="s">
        <v>395</v>
      </c>
    </row>
    <row r="141" spans="1:103" x14ac:dyDescent="0.3">
      <c r="A141" s="98" t="s">
        <v>21</v>
      </c>
      <c r="B141" s="98" t="s">
        <v>21</v>
      </c>
      <c r="C141" s="132" t="s">
        <v>20</v>
      </c>
      <c r="D141" s="132"/>
      <c r="E141" s="98"/>
      <c r="F141" s="98"/>
      <c r="G141" s="245">
        <v>42961</v>
      </c>
      <c r="H141" s="1">
        <v>2017</v>
      </c>
      <c r="I141" s="75" t="s">
        <v>33</v>
      </c>
      <c r="J141" s="75">
        <v>10</v>
      </c>
      <c r="K141" s="155">
        <v>0.50703889286564841</v>
      </c>
      <c r="L141" s="5">
        <v>4.1492776886035552</v>
      </c>
      <c r="M141" s="6">
        <v>3.445519147256218E-2</v>
      </c>
      <c r="N141" s="6">
        <v>0.10729865771812079</v>
      </c>
      <c r="O141" s="6">
        <v>0.75058231346229765</v>
      </c>
      <c r="P141" s="6">
        <v>0.62582905645479669</v>
      </c>
      <c r="Q141" s="6">
        <v>2.0800582313462299</v>
      </c>
      <c r="R141" s="6">
        <v>2.0016877220686937</v>
      </c>
      <c r="S141" s="6">
        <v>0.89178839320963288</v>
      </c>
      <c r="T141" s="6">
        <v>6.4916995657323335</v>
      </c>
      <c r="U141" s="5">
        <f t="shared" si="18"/>
        <v>57.844384245606918</v>
      </c>
      <c r="V141" s="6" t="s">
        <v>60</v>
      </c>
      <c r="W141" s="6">
        <v>0.17639634160875056</v>
      </c>
      <c r="X141" s="6">
        <v>6.1427336750044054E-2</v>
      </c>
      <c r="Y141" s="6">
        <v>9.2343201756896365E-2</v>
      </c>
      <c r="Z141" s="6" t="s">
        <v>60</v>
      </c>
      <c r="AA141" s="6">
        <v>3.2108825134651069E-2</v>
      </c>
      <c r="AB141" s="6">
        <v>1.4740134460428609E-2</v>
      </c>
      <c r="AC141" s="6" t="s">
        <v>395</v>
      </c>
      <c r="AD141" s="6" t="s">
        <v>395</v>
      </c>
      <c r="AE141" s="5">
        <f t="shared" si="16"/>
        <v>0.37701583971077063</v>
      </c>
      <c r="AF141" s="6" t="s">
        <v>70</v>
      </c>
      <c r="AG141" s="250" t="s">
        <v>395</v>
      </c>
      <c r="AH141" s="253">
        <v>36.719764011799413</v>
      </c>
      <c r="AI141" s="6" t="s">
        <v>69</v>
      </c>
      <c r="AJ141" s="6" t="s">
        <v>69</v>
      </c>
      <c r="AK141" s="6">
        <v>4.0642412323828286E-2</v>
      </c>
      <c r="AL141" s="6" t="s">
        <v>65</v>
      </c>
      <c r="AM141" s="6" t="s">
        <v>65</v>
      </c>
      <c r="AN141" s="6">
        <v>1.3517109144542774</v>
      </c>
      <c r="AO141" s="6">
        <v>1.056047197640118</v>
      </c>
      <c r="AP141" s="6" t="s">
        <v>71</v>
      </c>
      <c r="AQ141" s="6">
        <v>1.0585644051130778</v>
      </c>
      <c r="AR141" s="6">
        <v>4.5722713864306784E-2</v>
      </c>
      <c r="AS141" s="5" t="s">
        <v>395</v>
      </c>
      <c r="AT141" s="5" t="s">
        <v>395</v>
      </c>
      <c r="AU141" s="5" t="s">
        <v>395</v>
      </c>
      <c r="AV141" s="5" t="s">
        <v>395</v>
      </c>
      <c r="AW141" s="5" t="s">
        <v>395</v>
      </c>
      <c r="AX141" s="5" t="s">
        <v>395</v>
      </c>
      <c r="AY141" s="5" t="s">
        <v>395</v>
      </c>
      <c r="AZ141" s="5" t="s">
        <v>395</v>
      </c>
      <c r="BA141" s="5" t="s">
        <v>395</v>
      </c>
      <c r="BB141" s="5" t="s">
        <v>395</v>
      </c>
      <c r="BC141" s="6">
        <v>587</v>
      </c>
      <c r="BD141" s="6" t="s">
        <v>69</v>
      </c>
      <c r="BE141" s="6" t="s">
        <v>65</v>
      </c>
      <c r="BF141" s="6">
        <v>0.60899999999999999</v>
      </c>
      <c r="BG141" s="6" t="s">
        <v>69</v>
      </c>
      <c r="BH141" s="6">
        <v>0.54630310994305742</v>
      </c>
      <c r="BI141" s="6">
        <v>19.587483574244416</v>
      </c>
      <c r="BJ141" s="6">
        <v>14.8</v>
      </c>
      <c r="BK141" s="6">
        <v>1.7</v>
      </c>
      <c r="BL141" s="6">
        <v>13.677463863337712</v>
      </c>
      <c r="BM141" s="6">
        <v>0.28830705212439772</v>
      </c>
      <c r="BN141" s="6">
        <v>68</v>
      </c>
      <c r="BO141" s="6">
        <v>0.95745339478638347</v>
      </c>
      <c r="BP141" s="6">
        <v>0.55054281442904895</v>
      </c>
      <c r="BQ141" s="6">
        <v>4.031719246854939</v>
      </c>
      <c r="BR141" s="6">
        <v>5.2795278025854735</v>
      </c>
      <c r="BS141" s="6" t="s">
        <v>69</v>
      </c>
      <c r="BT141" s="6">
        <v>2.7754233961210208</v>
      </c>
      <c r="BU141" s="6" t="s">
        <v>164</v>
      </c>
      <c r="BV141" s="6" t="s">
        <v>69</v>
      </c>
      <c r="BW141" s="6" t="s">
        <v>69</v>
      </c>
      <c r="BX141" s="6">
        <v>0.75246197355842348</v>
      </c>
      <c r="BY141" s="6">
        <v>1.1208792380866111</v>
      </c>
      <c r="BZ141" s="6">
        <v>3.8334489820177549</v>
      </c>
      <c r="CA141" s="6" t="s">
        <v>69</v>
      </c>
      <c r="CB141" s="6" t="s">
        <v>69</v>
      </c>
      <c r="CC141" s="6" t="s">
        <v>69</v>
      </c>
      <c r="CD141" s="6" t="s">
        <v>69</v>
      </c>
      <c r="CE141" s="6">
        <v>0.54570643268730235</v>
      </c>
      <c r="CF141" s="6" t="s">
        <v>69</v>
      </c>
      <c r="CG141" s="6" t="s">
        <v>69</v>
      </c>
      <c r="CH141" s="6" t="s">
        <v>69</v>
      </c>
      <c r="CI141" s="5" t="s">
        <v>395</v>
      </c>
      <c r="CJ141" s="5" t="s">
        <v>395</v>
      </c>
      <c r="CK141" s="5" t="s">
        <v>395</v>
      </c>
      <c r="CL141" s="5" t="s">
        <v>395</v>
      </c>
      <c r="CM141" s="5" t="s">
        <v>395</v>
      </c>
      <c r="CN141" s="5" t="s">
        <v>395</v>
      </c>
      <c r="CO141" s="5" t="s">
        <v>395</v>
      </c>
      <c r="CP141" s="5" t="s">
        <v>395</v>
      </c>
      <c r="CQ141" s="5" t="s">
        <v>395</v>
      </c>
      <c r="CR141" s="5" t="s">
        <v>395</v>
      </c>
      <c r="CS141" s="5" t="s">
        <v>395</v>
      </c>
      <c r="CT141" s="5" t="s">
        <v>395</v>
      </c>
      <c r="CU141" s="5" t="s">
        <v>395</v>
      </c>
      <c r="CV141" s="5" t="s">
        <v>395</v>
      </c>
      <c r="CW141" s="5" t="s">
        <v>395</v>
      </c>
      <c r="CX141" s="5" t="s">
        <v>395</v>
      </c>
      <c r="CY141" s="252" t="s">
        <v>395</v>
      </c>
    </row>
    <row r="142" spans="1:103" x14ac:dyDescent="0.3">
      <c r="A142" s="98" t="s">
        <v>22</v>
      </c>
      <c r="B142" s="98" t="s">
        <v>22</v>
      </c>
      <c r="C142" s="132" t="s">
        <v>20</v>
      </c>
      <c r="D142" s="132"/>
      <c r="E142" s="98"/>
      <c r="F142" s="98"/>
      <c r="G142" s="245">
        <v>42985</v>
      </c>
      <c r="H142" s="1">
        <v>2017</v>
      </c>
      <c r="I142" s="75" t="s">
        <v>33</v>
      </c>
      <c r="J142" s="75">
        <v>10</v>
      </c>
      <c r="K142" s="155">
        <v>0.42030051486814662</v>
      </c>
      <c r="L142" s="5">
        <v>4.7704590818362007</v>
      </c>
      <c r="M142" s="6">
        <v>0.71336541616537241</v>
      </c>
      <c r="N142" s="6">
        <v>1.6686700207809251</v>
      </c>
      <c r="O142" s="6">
        <v>3.7139943125888655</v>
      </c>
      <c r="P142" s="6">
        <v>2.6614568522366837</v>
      </c>
      <c r="Q142" s="6">
        <v>5.305080389368916</v>
      </c>
      <c r="R142" s="6">
        <v>4.9528929235480685</v>
      </c>
      <c r="S142" s="6">
        <v>1.9803237449414852</v>
      </c>
      <c r="T142" s="6">
        <v>20.995783659630316</v>
      </c>
      <c r="U142" s="5">
        <f t="shared" si="18"/>
        <v>218.10973528244824</v>
      </c>
      <c r="V142" s="6" t="s">
        <v>60</v>
      </c>
      <c r="W142" s="6">
        <v>0.25535616727969934</v>
      </c>
      <c r="X142" s="6">
        <v>9.5357270999735233E-2</v>
      </c>
      <c r="Y142" s="6">
        <v>0.26902597589390986</v>
      </c>
      <c r="Z142" s="6" t="s">
        <v>60</v>
      </c>
      <c r="AA142" s="6">
        <v>3.1730525449955339E-2</v>
      </c>
      <c r="AB142" s="6">
        <v>2.6055483691934601E-2</v>
      </c>
      <c r="AC142" s="6" t="s">
        <v>395</v>
      </c>
      <c r="AD142" s="6" t="s">
        <v>395</v>
      </c>
      <c r="AE142" s="5">
        <f t="shared" si="16"/>
        <v>0.67752542331523435</v>
      </c>
      <c r="AF142" s="6" t="s">
        <v>70</v>
      </c>
      <c r="AG142" s="250" t="s">
        <v>395</v>
      </c>
      <c r="AH142" s="253">
        <v>17.311219512195123</v>
      </c>
      <c r="AI142" s="6" t="s">
        <v>69</v>
      </c>
      <c r="AJ142" s="6" t="s">
        <v>69</v>
      </c>
      <c r="AK142" s="6" t="s">
        <v>56</v>
      </c>
      <c r="AL142" s="6" t="s">
        <v>65</v>
      </c>
      <c r="AM142" s="6" t="s">
        <v>65</v>
      </c>
      <c r="AN142" s="6">
        <v>0.57725853658536586</v>
      </c>
      <c r="AO142" s="6">
        <v>0.28390243902439027</v>
      </c>
      <c r="AP142" s="6" t="s">
        <v>71</v>
      </c>
      <c r="AQ142" s="6">
        <v>0.71176585365853662</v>
      </c>
      <c r="AR142" s="6">
        <v>7.8439024390243903E-2</v>
      </c>
      <c r="AS142" s="5" t="s">
        <v>395</v>
      </c>
      <c r="AT142" s="5" t="s">
        <v>395</v>
      </c>
      <c r="AU142" s="5" t="s">
        <v>395</v>
      </c>
      <c r="AV142" s="5" t="s">
        <v>395</v>
      </c>
      <c r="AW142" s="5" t="s">
        <v>395</v>
      </c>
      <c r="AX142" s="5" t="s">
        <v>395</v>
      </c>
      <c r="AY142" s="5" t="s">
        <v>395</v>
      </c>
      <c r="AZ142" s="5" t="s">
        <v>395</v>
      </c>
      <c r="BA142" s="5" t="s">
        <v>395</v>
      </c>
      <c r="BB142" s="5" t="s">
        <v>395</v>
      </c>
      <c r="BC142" s="6">
        <v>192</v>
      </c>
      <c r="BD142" s="6" t="s">
        <v>69</v>
      </c>
      <c r="BE142" s="6" t="s">
        <v>65</v>
      </c>
      <c r="BF142" s="6">
        <v>0.26500000000000001</v>
      </c>
      <c r="BG142" s="6" t="s">
        <v>69</v>
      </c>
      <c r="BH142" s="6">
        <v>0.42019573503657154</v>
      </c>
      <c r="BI142" s="6">
        <v>7.5175543422272577</v>
      </c>
      <c r="BJ142" s="6">
        <v>2.85</v>
      </c>
      <c r="BK142" s="6" t="s">
        <v>71</v>
      </c>
      <c r="BL142" s="6">
        <v>8.3241578242505394</v>
      </c>
      <c r="BM142" s="6">
        <v>0.2990439888740084</v>
      </c>
      <c r="BN142" s="6">
        <v>83</v>
      </c>
      <c r="BO142" s="6">
        <v>2.9999785292300758</v>
      </c>
      <c r="BP142" s="6">
        <v>0.18418420460123613</v>
      </c>
      <c r="BQ142" s="6">
        <v>0.29240110574376638</v>
      </c>
      <c r="BR142" s="6">
        <v>6.3669350065018637</v>
      </c>
      <c r="BS142" s="6" t="s">
        <v>69</v>
      </c>
      <c r="BT142" s="6">
        <v>16.233059670336107</v>
      </c>
      <c r="BU142" s="6" t="s">
        <v>164</v>
      </c>
      <c r="BV142" s="6" t="s">
        <v>69</v>
      </c>
      <c r="BW142" s="6" t="s">
        <v>69</v>
      </c>
      <c r="BX142" s="6">
        <v>0.84820274349753311</v>
      </c>
      <c r="BY142" s="6">
        <v>1.5876104345265103</v>
      </c>
      <c r="BZ142" s="6">
        <v>4.9392908468709829</v>
      </c>
      <c r="CA142" s="6" t="s">
        <v>69</v>
      </c>
      <c r="CB142" s="6" t="s">
        <v>69</v>
      </c>
      <c r="CC142" s="6" t="s">
        <v>69</v>
      </c>
      <c r="CD142" s="6">
        <v>0.42577950477359999</v>
      </c>
      <c r="CE142" s="6">
        <v>1.6028701491040183</v>
      </c>
      <c r="CF142" s="6" t="s">
        <v>69</v>
      </c>
      <c r="CG142" s="6" t="s">
        <v>69</v>
      </c>
      <c r="CH142" s="6" t="s">
        <v>69</v>
      </c>
      <c r="CI142" s="5" t="s">
        <v>395</v>
      </c>
      <c r="CJ142" s="5" t="s">
        <v>395</v>
      </c>
      <c r="CK142" s="5" t="s">
        <v>395</v>
      </c>
      <c r="CL142" s="5" t="s">
        <v>395</v>
      </c>
      <c r="CM142" s="5" t="s">
        <v>395</v>
      </c>
      <c r="CN142" s="5" t="s">
        <v>395</v>
      </c>
      <c r="CO142" s="5" t="s">
        <v>395</v>
      </c>
      <c r="CP142" s="5" t="s">
        <v>395</v>
      </c>
      <c r="CQ142" s="5" t="s">
        <v>395</v>
      </c>
      <c r="CR142" s="5" t="s">
        <v>395</v>
      </c>
      <c r="CS142" s="5" t="s">
        <v>395</v>
      </c>
      <c r="CT142" s="5" t="s">
        <v>395</v>
      </c>
      <c r="CU142" s="5" t="s">
        <v>395</v>
      </c>
      <c r="CV142" s="5" t="s">
        <v>395</v>
      </c>
      <c r="CW142" s="5" t="s">
        <v>395</v>
      </c>
      <c r="CX142" s="5" t="s">
        <v>395</v>
      </c>
      <c r="CY142" s="252" t="s">
        <v>395</v>
      </c>
    </row>
    <row r="143" spans="1:103" x14ac:dyDescent="0.3">
      <c r="A143" s="98" t="s">
        <v>25</v>
      </c>
      <c r="B143" s="98" t="s">
        <v>25</v>
      </c>
      <c r="C143" s="132" t="s">
        <v>20</v>
      </c>
      <c r="D143" s="132"/>
      <c r="E143" s="98"/>
      <c r="F143" s="98"/>
      <c r="G143" s="245">
        <v>42962</v>
      </c>
      <c r="H143" s="1">
        <v>2017</v>
      </c>
      <c r="I143" s="75" t="s">
        <v>33</v>
      </c>
      <c r="J143" s="75">
        <v>10</v>
      </c>
      <c r="K143" s="155">
        <v>0.45115831094437497</v>
      </c>
      <c r="L143" s="5">
        <v>3.6928386540120557</v>
      </c>
      <c r="M143" s="6">
        <v>3.4289932638184001E-2</v>
      </c>
      <c r="N143" s="6">
        <v>9.1302943619082769E-2</v>
      </c>
      <c r="O143" s="6">
        <v>0.38661068561409989</v>
      </c>
      <c r="P143" s="6">
        <v>0.29720402325366801</v>
      </c>
      <c r="Q143" s="6">
        <v>0.82254775306819228</v>
      </c>
      <c r="R143" s="6">
        <v>0.77604503091261423</v>
      </c>
      <c r="S143" s="6">
        <v>0.32070683768570635</v>
      </c>
      <c r="T143" s="6">
        <v>2.7287072067915479</v>
      </c>
      <c r="U143" s="5">
        <f t="shared" si="18"/>
        <v>26.947338933513173</v>
      </c>
      <c r="V143" s="6" t="s">
        <v>60</v>
      </c>
      <c r="W143" s="6">
        <v>5.6953680545536747E-2</v>
      </c>
      <c r="X143" s="6" t="s">
        <v>72</v>
      </c>
      <c r="Y143" s="6">
        <v>6.0711184030465694E-2</v>
      </c>
      <c r="Z143" s="6">
        <v>1.2471803597822488E-2</v>
      </c>
      <c r="AA143" s="6" t="s">
        <v>56</v>
      </c>
      <c r="AB143" s="6">
        <v>1.3801074500573902E-2</v>
      </c>
      <c r="AC143" s="6" t="s">
        <v>395</v>
      </c>
      <c r="AD143" s="7" t="s">
        <v>395</v>
      </c>
      <c r="AE143" s="5">
        <f t="shared" si="16"/>
        <v>0.13146593907657636</v>
      </c>
      <c r="AF143" s="6" t="s">
        <v>70</v>
      </c>
      <c r="AG143" s="250" t="s">
        <v>395</v>
      </c>
      <c r="AH143" s="253">
        <v>35.969260326609032</v>
      </c>
      <c r="AI143" s="6" t="s">
        <v>69</v>
      </c>
      <c r="AJ143" s="6" t="s">
        <v>69</v>
      </c>
      <c r="AK143" s="6" t="s">
        <v>56</v>
      </c>
      <c r="AL143" s="6" t="s">
        <v>65</v>
      </c>
      <c r="AM143" s="6" t="s">
        <v>65</v>
      </c>
      <c r="AN143" s="6">
        <v>0.85945244956772338</v>
      </c>
      <c r="AO143" s="6">
        <v>0.41690682036503357</v>
      </c>
      <c r="AP143" s="6" t="s">
        <v>71</v>
      </c>
      <c r="AQ143" s="6">
        <v>0.40303554274735831</v>
      </c>
      <c r="AR143" s="6" t="s">
        <v>71</v>
      </c>
      <c r="AS143" s="5" t="s">
        <v>395</v>
      </c>
      <c r="AT143" s="5" t="s">
        <v>395</v>
      </c>
      <c r="AU143" s="5" t="s">
        <v>395</v>
      </c>
      <c r="AV143" s="5" t="s">
        <v>395</v>
      </c>
      <c r="AW143" s="5" t="s">
        <v>395</v>
      </c>
      <c r="AX143" s="5" t="s">
        <v>395</v>
      </c>
      <c r="AY143" s="5" t="s">
        <v>395</v>
      </c>
      <c r="AZ143" s="5" t="s">
        <v>395</v>
      </c>
      <c r="BA143" s="5" t="s">
        <v>395</v>
      </c>
      <c r="BB143" s="5" t="s">
        <v>395</v>
      </c>
      <c r="BC143" s="6">
        <v>579</v>
      </c>
      <c r="BD143" s="6" t="s">
        <v>69</v>
      </c>
      <c r="BE143" s="6" t="s">
        <v>65</v>
      </c>
      <c r="BF143" s="6">
        <v>0.42699999999999999</v>
      </c>
      <c r="BG143" s="6" t="s">
        <v>69</v>
      </c>
      <c r="BH143" s="6">
        <v>0.63869239228231534</v>
      </c>
      <c r="BI143" s="6">
        <v>12.783454963510948</v>
      </c>
      <c r="BJ143" s="6">
        <v>7.17</v>
      </c>
      <c r="BK143" s="6">
        <v>3.2</v>
      </c>
      <c r="BL143" s="6">
        <v>6.3783464960511846</v>
      </c>
      <c r="BM143" s="6">
        <v>0.25720483854843551</v>
      </c>
      <c r="BN143" s="6">
        <v>130</v>
      </c>
      <c r="BO143" s="6">
        <v>0.86808938352401754</v>
      </c>
      <c r="BP143" s="6">
        <v>0.30351418923293927</v>
      </c>
      <c r="BQ143" s="6">
        <v>0.23707257465100043</v>
      </c>
      <c r="BR143" s="6">
        <v>4.9382036276577743</v>
      </c>
      <c r="BS143" s="6" t="s">
        <v>69</v>
      </c>
      <c r="BT143" s="6">
        <v>2.4737963202353841</v>
      </c>
      <c r="BU143" s="6" t="s">
        <v>164</v>
      </c>
      <c r="BV143" s="6" t="s">
        <v>69</v>
      </c>
      <c r="BW143" s="6" t="s">
        <v>69</v>
      </c>
      <c r="BX143" s="6">
        <v>1.334697716239625</v>
      </c>
      <c r="BY143" s="6">
        <v>1.3162901845739678</v>
      </c>
      <c r="BZ143" s="6">
        <v>2.9396617180144951</v>
      </c>
      <c r="CA143" s="6" t="s">
        <v>69</v>
      </c>
      <c r="CB143" s="6" t="s">
        <v>69</v>
      </c>
      <c r="CC143" s="6" t="s">
        <v>69</v>
      </c>
      <c r="CD143" s="6" t="s">
        <v>69</v>
      </c>
      <c r="CE143" s="6" t="s">
        <v>46</v>
      </c>
      <c r="CF143" s="6" t="s">
        <v>69</v>
      </c>
      <c r="CG143" s="6" t="s">
        <v>69</v>
      </c>
      <c r="CH143" s="6" t="s">
        <v>69</v>
      </c>
      <c r="CI143" s="5" t="s">
        <v>395</v>
      </c>
      <c r="CJ143" s="5" t="s">
        <v>395</v>
      </c>
      <c r="CK143" s="5" t="s">
        <v>395</v>
      </c>
      <c r="CL143" s="5" t="s">
        <v>395</v>
      </c>
      <c r="CM143" s="5" t="s">
        <v>395</v>
      </c>
      <c r="CN143" s="5" t="s">
        <v>395</v>
      </c>
      <c r="CO143" s="5" t="s">
        <v>395</v>
      </c>
      <c r="CP143" s="5" t="s">
        <v>395</v>
      </c>
      <c r="CQ143" s="5" t="s">
        <v>395</v>
      </c>
      <c r="CR143" s="5" t="s">
        <v>395</v>
      </c>
      <c r="CS143" s="5" t="s">
        <v>395</v>
      </c>
      <c r="CT143" s="5" t="s">
        <v>395</v>
      </c>
      <c r="CU143" s="5" t="s">
        <v>395</v>
      </c>
      <c r="CV143" s="5" t="s">
        <v>395</v>
      </c>
      <c r="CW143" s="5" t="s">
        <v>395</v>
      </c>
      <c r="CX143" s="5" t="s">
        <v>395</v>
      </c>
      <c r="CY143" s="252" t="s">
        <v>395</v>
      </c>
    </row>
    <row r="144" spans="1:103" x14ac:dyDescent="0.3">
      <c r="A144" s="98" t="s">
        <v>5</v>
      </c>
      <c r="B144" s="98" t="s">
        <v>5</v>
      </c>
      <c r="C144" s="132" t="s">
        <v>20</v>
      </c>
      <c r="D144" s="132"/>
      <c r="E144" s="98"/>
      <c r="F144" s="98"/>
      <c r="G144" s="245">
        <v>42968</v>
      </c>
      <c r="H144" s="1">
        <v>2017</v>
      </c>
      <c r="I144" s="75" t="s">
        <v>33</v>
      </c>
      <c r="J144" s="75">
        <v>10</v>
      </c>
      <c r="K144" s="155">
        <v>0.32914989344067203</v>
      </c>
      <c r="L144" s="5">
        <v>7.303705468843205</v>
      </c>
      <c r="M144" s="6">
        <v>0.85847941888619861</v>
      </c>
      <c r="N144" s="6">
        <v>1.8717142857142859</v>
      </c>
      <c r="O144" s="6">
        <v>4.2495108958837768</v>
      </c>
      <c r="P144" s="6">
        <v>3.3886585956416471</v>
      </c>
      <c r="Q144" s="6">
        <v>4.8051961259079903</v>
      </c>
      <c r="R144" s="6">
        <v>4.73496368038741</v>
      </c>
      <c r="S144" s="6">
        <v>1.4049588377723972</v>
      </c>
      <c r="T144" s="6">
        <v>21.313481840193706</v>
      </c>
      <c r="U144" s="5">
        <f t="shared" si="18"/>
        <v>272.28967108541593</v>
      </c>
      <c r="V144" s="6">
        <v>1.4188479380229126E-2</v>
      </c>
      <c r="W144" s="6">
        <v>0.31560819344274726</v>
      </c>
      <c r="X144" s="6">
        <v>0.12461929479743412</v>
      </c>
      <c r="Y144" s="6">
        <v>0.28000000000000003</v>
      </c>
      <c r="Z144" s="6">
        <v>2.5940984890961076E-2</v>
      </c>
      <c r="AA144" s="6">
        <v>4.4061211569325985E-2</v>
      </c>
      <c r="AB144" s="6">
        <v>3.5086570997494314E-2</v>
      </c>
      <c r="AC144" s="6" t="s">
        <v>395</v>
      </c>
      <c r="AD144" s="6" t="s">
        <v>395</v>
      </c>
      <c r="AE144" s="5">
        <f t="shared" si="16"/>
        <v>0.81356375018723093</v>
      </c>
      <c r="AF144" s="6" t="s">
        <v>70</v>
      </c>
      <c r="AG144" s="250" t="s">
        <v>395</v>
      </c>
      <c r="AH144" s="253">
        <v>14.945098039215686</v>
      </c>
      <c r="AI144" s="6" t="s">
        <v>69</v>
      </c>
      <c r="AJ144" s="6" t="s">
        <v>69</v>
      </c>
      <c r="AK144" s="6" t="s">
        <v>56</v>
      </c>
      <c r="AL144" s="6" t="s">
        <v>65</v>
      </c>
      <c r="AM144" s="6" t="s">
        <v>65</v>
      </c>
      <c r="AN144" s="6">
        <v>0.42910784313725492</v>
      </c>
      <c r="AO144" s="6">
        <v>0.16666666666666666</v>
      </c>
      <c r="AP144" s="6" t="s">
        <v>71</v>
      </c>
      <c r="AQ144" s="6">
        <v>0.43682352941176472</v>
      </c>
      <c r="AR144" s="6">
        <v>6.0392156862745093E-2</v>
      </c>
      <c r="AS144" s="5" t="s">
        <v>395</v>
      </c>
      <c r="AT144" s="5" t="s">
        <v>395</v>
      </c>
      <c r="AU144" s="5" t="s">
        <v>395</v>
      </c>
      <c r="AV144" s="5" t="s">
        <v>395</v>
      </c>
      <c r="AW144" s="5" t="s">
        <v>395</v>
      </c>
      <c r="AX144" s="5" t="s">
        <v>395</v>
      </c>
      <c r="AY144" s="5" t="s">
        <v>395</v>
      </c>
      <c r="AZ144" s="5" t="s">
        <v>395</v>
      </c>
      <c r="BA144" s="5" t="s">
        <v>395</v>
      </c>
      <c r="BB144" s="5" t="s">
        <v>395</v>
      </c>
      <c r="BC144" s="6">
        <v>306</v>
      </c>
      <c r="BD144" s="6" t="s">
        <v>69</v>
      </c>
      <c r="BE144" s="6" t="s">
        <v>65</v>
      </c>
      <c r="BF144" s="6">
        <v>0.20699999999999999</v>
      </c>
      <c r="BG144" s="6" t="s">
        <v>69</v>
      </c>
      <c r="BH144" s="6">
        <v>0.34745155126922028</v>
      </c>
      <c r="BI144" s="6">
        <v>9.4507233190792466</v>
      </c>
      <c r="BJ144" s="6">
        <v>4.55</v>
      </c>
      <c r="BK144" s="6" t="s">
        <v>71</v>
      </c>
      <c r="BL144" s="6">
        <v>9.5444090619597848</v>
      </c>
      <c r="BM144" s="6">
        <v>0.24500227458829954</v>
      </c>
      <c r="BN144" s="6">
        <v>110</v>
      </c>
      <c r="BO144" s="6">
        <v>0.97729124279127555</v>
      </c>
      <c r="BP144" s="6">
        <v>0.42200429980447113</v>
      </c>
      <c r="BQ144" s="6" t="s">
        <v>65</v>
      </c>
      <c r="BR144" s="6">
        <v>2.5612225038126497</v>
      </c>
      <c r="BS144" s="6" t="s">
        <v>69</v>
      </c>
      <c r="BT144" s="6">
        <v>1.7169193010677768</v>
      </c>
      <c r="BU144" s="6" t="s">
        <v>164</v>
      </c>
      <c r="BV144" s="6" t="s">
        <v>69</v>
      </c>
      <c r="BW144" s="6" t="s">
        <v>69</v>
      </c>
      <c r="BX144" s="6">
        <v>0.70619700486637704</v>
      </c>
      <c r="BY144" s="6">
        <v>0.88274755045956688</v>
      </c>
      <c r="BZ144" s="6">
        <v>5.1620708424307242</v>
      </c>
      <c r="CA144" s="6" t="s">
        <v>69</v>
      </c>
      <c r="CB144" s="6" t="s">
        <v>69</v>
      </c>
      <c r="CC144" s="6" t="s">
        <v>69</v>
      </c>
      <c r="CD144" s="6" t="s">
        <v>69</v>
      </c>
      <c r="CE144" s="6">
        <v>0.76036983173790562</v>
      </c>
      <c r="CF144" s="6" t="s">
        <v>69</v>
      </c>
      <c r="CG144" s="6" t="s">
        <v>69</v>
      </c>
      <c r="CH144" s="6" t="s">
        <v>69</v>
      </c>
      <c r="CI144" s="5" t="s">
        <v>395</v>
      </c>
      <c r="CJ144" s="5" t="s">
        <v>395</v>
      </c>
      <c r="CK144" s="5" t="s">
        <v>395</v>
      </c>
      <c r="CL144" s="5" t="s">
        <v>395</v>
      </c>
      <c r="CM144" s="5" t="s">
        <v>395</v>
      </c>
      <c r="CN144" s="5" t="s">
        <v>395</v>
      </c>
      <c r="CO144" s="5" t="s">
        <v>395</v>
      </c>
      <c r="CP144" s="5" t="s">
        <v>395</v>
      </c>
      <c r="CQ144" s="5" t="s">
        <v>395</v>
      </c>
      <c r="CR144" s="5" t="s">
        <v>395</v>
      </c>
      <c r="CS144" s="5" t="s">
        <v>395</v>
      </c>
      <c r="CT144" s="5" t="s">
        <v>395</v>
      </c>
      <c r="CU144" s="5" t="s">
        <v>395</v>
      </c>
      <c r="CV144" s="5" t="s">
        <v>395</v>
      </c>
      <c r="CW144" s="5" t="s">
        <v>395</v>
      </c>
      <c r="CX144" s="5" t="s">
        <v>395</v>
      </c>
      <c r="CY144" s="252" t="s">
        <v>395</v>
      </c>
    </row>
    <row r="145" spans="1:103" x14ac:dyDescent="0.3">
      <c r="A145" s="98" t="s">
        <v>23</v>
      </c>
      <c r="B145" s="98" t="s">
        <v>23</v>
      </c>
      <c r="C145" s="132" t="s">
        <v>20</v>
      </c>
      <c r="D145" s="132"/>
      <c r="E145" s="98"/>
      <c r="F145" s="98"/>
      <c r="G145" s="245">
        <v>42969</v>
      </c>
      <c r="H145" s="1">
        <v>2017</v>
      </c>
      <c r="I145" s="75" t="s">
        <v>33</v>
      </c>
      <c r="J145" s="75">
        <v>10</v>
      </c>
      <c r="K145" s="155">
        <v>0.37161564324900703</v>
      </c>
      <c r="L145" s="5">
        <v>4.7382042604022478</v>
      </c>
      <c r="M145" s="6">
        <v>0.32140354292388557</v>
      </c>
      <c r="N145" s="6">
        <v>1.2512993965349426</v>
      </c>
      <c r="O145" s="6">
        <v>3.3881253649990271</v>
      </c>
      <c r="P145" s="6">
        <v>2.9017130620985014</v>
      </c>
      <c r="Q145" s="6">
        <v>5.0958876776328603</v>
      </c>
      <c r="R145" s="6">
        <v>4.7924274868600349</v>
      </c>
      <c r="S145" s="6">
        <v>1.9367821685808837</v>
      </c>
      <c r="T145" s="6">
        <v>19.687638699630135</v>
      </c>
      <c r="U145" s="5">
        <f t="shared" si="18"/>
        <v>225.85063280401189</v>
      </c>
      <c r="V145" s="6" t="s">
        <v>60</v>
      </c>
      <c r="W145" s="6">
        <v>9.9613608519580982E-2</v>
      </c>
      <c r="X145" s="6">
        <v>3.8676569267013919E-2</v>
      </c>
      <c r="Y145" s="6">
        <v>4.7492991967385323E-2</v>
      </c>
      <c r="Z145" s="6" t="s">
        <v>60</v>
      </c>
      <c r="AA145" s="6" t="s">
        <v>56</v>
      </c>
      <c r="AB145" s="6" t="s">
        <v>60</v>
      </c>
      <c r="AC145" s="6" t="s">
        <v>395</v>
      </c>
      <c r="AD145" s="6" t="s">
        <v>395</v>
      </c>
      <c r="AE145" s="5">
        <f t="shared" si="16"/>
        <v>0.18578316975398024</v>
      </c>
      <c r="AF145" s="6" t="s">
        <v>70</v>
      </c>
      <c r="AG145" s="250" t="s">
        <v>395</v>
      </c>
      <c r="AH145" s="253">
        <v>10.774634146341462</v>
      </c>
      <c r="AI145" s="6" t="s">
        <v>69</v>
      </c>
      <c r="AJ145" s="6" t="s">
        <v>69</v>
      </c>
      <c r="AK145" s="6">
        <v>2.3739837398373997E-2</v>
      </c>
      <c r="AL145" s="6" t="s">
        <v>65</v>
      </c>
      <c r="AM145" s="6" t="s">
        <v>65</v>
      </c>
      <c r="AN145" s="6">
        <v>0.48360000000000009</v>
      </c>
      <c r="AO145" s="6">
        <v>0.22731707317073171</v>
      </c>
      <c r="AP145" s="6" t="s">
        <v>71</v>
      </c>
      <c r="AQ145" s="6">
        <v>0.7224975609756098</v>
      </c>
      <c r="AR145" s="6">
        <v>2.9073170731707319E-2</v>
      </c>
      <c r="AS145" s="5" t="s">
        <v>395</v>
      </c>
      <c r="AT145" s="5" t="s">
        <v>395</v>
      </c>
      <c r="AU145" s="5" t="s">
        <v>395</v>
      </c>
      <c r="AV145" s="5" t="s">
        <v>395</v>
      </c>
      <c r="AW145" s="5" t="s">
        <v>395</v>
      </c>
      <c r="AX145" s="5" t="s">
        <v>395</v>
      </c>
      <c r="AY145" s="5" t="s">
        <v>395</v>
      </c>
      <c r="AZ145" s="5" t="s">
        <v>395</v>
      </c>
      <c r="BA145" s="5" t="s">
        <v>395</v>
      </c>
      <c r="BB145" s="5" t="s">
        <v>395</v>
      </c>
      <c r="BC145" s="6">
        <v>177</v>
      </c>
      <c r="BD145" s="6" t="s">
        <v>69</v>
      </c>
      <c r="BE145" s="6" t="s">
        <v>65</v>
      </c>
      <c r="BF145" s="6">
        <v>0.378</v>
      </c>
      <c r="BG145" s="6" t="s">
        <v>69</v>
      </c>
      <c r="BH145" s="6">
        <v>0.6286248794599808</v>
      </c>
      <c r="BI145" s="6">
        <v>8.3773288331726139</v>
      </c>
      <c r="BJ145" s="6">
        <v>2.61</v>
      </c>
      <c r="BK145" s="6" t="s">
        <v>71</v>
      </c>
      <c r="BL145" s="6">
        <v>9.3830858244937314</v>
      </c>
      <c r="BM145" s="6">
        <v>0.21531533269045325</v>
      </c>
      <c r="BN145" s="6">
        <v>320</v>
      </c>
      <c r="BO145" s="6">
        <v>0.92128477383202068</v>
      </c>
      <c r="BP145" s="6">
        <v>0.13728450199393563</v>
      </c>
      <c r="BQ145" s="6">
        <v>0.34650635190176066</v>
      </c>
      <c r="BR145" s="6">
        <v>5.6675155314329482</v>
      </c>
      <c r="BS145" s="6" t="s">
        <v>69</v>
      </c>
      <c r="BT145" s="6">
        <v>2.0823541043755656</v>
      </c>
      <c r="BU145" s="6" t="s">
        <v>164</v>
      </c>
      <c r="BV145" s="6" t="s">
        <v>69</v>
      </c>
      <c r="BW145" s="6" t="s">
        <v>69</v>
      </c>
      <c r="BX145" s="6">
        <v>0.60062519480696819</v>
      </c>
      <c r="BY145" s="6">
        <v>1.1188270596144783</v>
      </c>
      <c r="BZ145" s="6">
        <v>2.6917106200840069</v>
      </c>
      <c r="CA145" s="6" t="s">
        <v>69</v>
      </c>
      <c r="CB145" s="6" t="s">
        <v>69</v>
      </c>
      <c r="CC145" s="6" t="s">
        <v>69</v>
      </c>
      <c r="CD145" s="6" t="s">
        <v>69</v>
      </c>
      <c r="CE145" s="6">
        <v>0.87598084948298449</v>
      </c>
      <c r="CF145" s="6" t="s">
        <v>69</v>
      </c>
      <c r="CG145" s="6" t="s">
        <v>69</v>
      </c>
      <c r="CH145" s="6" t="s">
        <v>69</v>
      </c>
      <c r="CI145" s="5" t="s">
        <v>395</v>
      </c>
      <c r="CJ145" s="5" t="s">
        <v>395</v>
      </c>
      <c r="CK145" s="5" t="s">
        <v>395</v>
      </c>
      <c r="CL145" s="5" t="s">
        <v>395</v>
      </c>
      <c r="CM145" s="5" t="s">
        <v>395</v>
      </c>
      <c r="CN145" s="5" t="s">
        <v>395</v>
      </c>
      <c r="CO145" s="5" t="s">
        <v>395</v>
      </c>
      <c r="CP145" s="5" t="s">
        <v>395</v>
      </c>
      <c r="CQ145" s="5" t="s">
        <v>395</v>
      </c>
      <c r="CR145" s="5" t="s">
        <v>395</v>
      </c>
      <c r="CS145" s="5" t="s">
        <v>395</v>
      </c>
      <c r="CT145" s="5" t="s">
        <v>395</v>
      </c>
      <c r="CU145" s="5" t="s">
        <v>395</v>
      </c>
      <c r="CV145" s="5" t="s">
        <v>395</v>
      </c>
      <c r="CW145" s="5" t="s">
        <v>395</v>
      </c>
      <c r="CX145" s="5" t="s">
        <v>395</v>
      </c>
      <c r="CY145" s="252" t="s">
        <v>395</v>
      </c>
    </row>
    <row r="146" spans="1:103" x14ac:dyDescent="0.3">
      <c r="A146" s="98" t="s">
        <v>6</v>
      </c>
      <c r="B146" s="98" t="s">
        <v>6</v>
      </c>
      <c r="C146" s="132" t="s">
        <v>20</v>
      </c>
      <c r="D146" s="132"/>
      <c r="E146" s="98"/>
      <c r="F146" s="98"/>
      <c r="G146" s="245">
        <v>42957</v>
      </c>
      <c r="H146" s="1">
        <v>2017</v>
      </c>
      <c r="I146" s="75" t="s">
        <v>33</v>
      </c>
      <c r="J146" s="75">
        <v>10</v>
      </c>
      <c r="K146" s="155">
        <v>0.48081485464840734</v>
      </c>
      <c r="L146" s="5">
        <v>3.2548551589453578</v>
      </c>
      <c r="M146" s="6">
        <v>8.2224723141090181E-2</v>
      </c>
      <c r="N146" s="6">
        <v>0.32061577808622999</v>
      </c>
      <c r="O146" s="6">
        <v>1.2296579169630801</v>
      </c>
      <c r="P146" s="6">
        <v>0.98014140774538916</v>
      </c>
      <c r="Q146" s="6">
        <v>2.5194324532310421</v>
      </c>
      <c r="R146" s="6">
        <v>2.1226321948808735</v>
      </c>
      <c r="S146" s="6">
        <v>0.9565257534529541</v>
      </c>
      <c r="T146" s="6">
        <v>8.2112302275006606</v>
      </c>
      <c r="U146" s="5">
        <f t="shared" si="18"/>
        <v>75.196187782540079</v>
      </c>
      <c r="V146" s="6" t="s">
        <v>60</v>
      </c>
      <c r="W146" s="6">
        <v>0.11200465291645169</v>
      </c>
      <c r="X146" s="6">
        <v>3.2600730663002821E-2</v>
      </c>
      <c r="Y146" s="6">
        <v>8.0072189468369498E-2</v>
      </c>
      <c r="Z146" s="6">
        <v>1.4072387936954478E-2</v>
      </c>
      <c r="AA146" s="6" t="s">
        <v>56</v>
      </c>
      <c r="AB146" s="6">
        <v>1.6514954792030481E-2</v>
      </c>
      <c r="AC146" s="6" t="s">
        <v>395</v>
      </c>
      <c r="AD146" s="6" t="s">
        <v>395</v>
      </c>
      <c r="AE146" s="5">
        <f t="shared" si="16"/>
        <v>0.24119252783985451</v>
      </c>
      <c r="AF146" s="6" t="s">
        <v>70</v>
      </c>
      <c r="AG146" s="250" t="s">
        <v>395</v>
      </c>
      <c r="AH146" s="253">
        <v>5.368318756073859</v>
      </c>
      <c r="AI146" s="6" t="s">
        <v>69</v>
      </c>
      <c r="AJ146" s="6" t="s">
        <v>69</v>
      </c>
      <c r="AK146" s="6" t="s">
        <v>56</v>
      </c>
      <c r="AL146" s="6" t="s">
        <v>65</v>
      </c>
      <c r="AM146" s="6" t="s">
        <v>65</v>
      </c>
      <c r="AN146" s="6">
        <v>0.26694849368318763</v>
      </c>
      <c r="AO146" s="6">
        <v>9.3294460641399429E-2</v>
      </c>
      <c r="AP146" s="6" t="s">
        <v>71</v>
      </c>
      <c r="AQ146" s="6">
        <v>7.6151603498542275E-2</v>
      </c>
      <c r="AR146" s="6" t="s">
        <v>71</v>
      </c>
      <c r="AS146" s="5" t="s">
        <v>395</v>
      </c>
      <c r="AT146" s="5" t="s">
        <v>395</v>
      </c>
      <c r="AU146" s="5" t="s">
        <v>395</v>
      </c>
      <c r="AV146" s="5" t="s">
        <v>395</v>
      </c>
      <c r="AW146" s="5" t="s">
        <v>395</v>
      </c>
      <c r="AX146" s="5" t="s">
        <v>395</v>
      </c>
      <c r="AY146" s="5" t="s">
        <v>395</v>
      </c>
      <c r="AZ146" s="5" t="s">
        <v>395</v>
      </c>
      <c r="BA146" s="5" t="s">
        <v>395</v>
      </c>
      <c r="BB146" s="5" t="s">
        <v>395</v>
      </c>
      <c r="BC146" s="6">
        <v>109</v>
      </c>
      <c r="BD146" s="6" t="s">
        <v>69</v>
      </c>
      <c r="BE146" s="6" t="s">
        <v>65</v>
      </c>
      <c r="BF146" s="6">
        <v>0.69499999999999995</v>
      </c>
      <c r="BG146" s="6" t="s">
        <v>69</v>
      </c>
      <c r="BH146" s="6">
        <v>0.28119681908548705</v>
      </c>
      <c r="BI146" s="6">
        <v>6.7965109343936376</v>
      </c>
      <c r="BJ146" s="6">
        <v>1.98</v>
      </c>
      <c r="BK146" s="6" t="s">
        <v>71</v>
      </c>
      <c r="BL146" s="6">
        <v>2.8929025844930418</v>
      </c>
      <c r="BM146" s="6">
        <v>0.241831013916501</v>
      </c>
      <c r="BN146" s="6">
        <v>21</v>
      </c>
      <c r="BO146" s="6">
        <v>1.2145236651513172</v>
      </c>
      <c r="BP146" s="6">
        <v>0.89553904943832818</v>
      </c>
      <c r="BQ146" s="6">
        <v>0.30758130386348109</v>
      </c>
      <c r="BR146" s="6">
        <v>3.0280272724070523</v>
      </c>
      <c r="BS146" s="6" t="s">
        <v>69</v>
      </c>
      <c r="BT146" s="6" t="s">
        <v>399</v>
      </c>
      <c r="BU146" s="6" t="s">
        <v>164</v>
      </c>
      <c r="BV146" s="6" t="s">
        <v>69</v>
      </c>
      <c r="BW146" s="6" t="s">
        <v>69</v>
      </c>
      <c r="BX146" s="6">
        <v>1.5837381982123049</v>
      </c>
      <c r="BY146" s="6">
        <v>0.93085258534294002</v>
      </c>
      <c r="BZ146" s="6">
        <v>3.3816033005238704</v>
      </c>
      <c r="CA146" s="6" t="s">
        <v>69</v>
      </c>
      <c r="CB146" s="6">
        <v>0.22565808572658203</v>
      </c>
      <c r="CC146" s="6" t="s">
        <v>69</v>
      </c>
      <c r="CD146" s="6" t="s">
        <v>69</v>
      </c>
      <c r="CE146" s="6">
        <v>0.54499501303601094</v>
      </c>
      <c r="CF146" s="6" t="s">
        <v>69</v>
      </c>
      <c r="CG146" s="6" t="s">
        <v>69</v>
      </c>
      <c r="CH146" s="6" t="s">
        <v>69</v>
      </c>
      <c r="CI146" s="5" t="s">
        <v>395</v>
      </c>
      <c r="CJ146" s="5" t="s">
        <v>395</v>
      </c>
      <c r="CK146" s="5" t="s">
        <v>395</v>
      </c>
      <c r="CL146" s="5" t="s">
        <v>395</v>
      </c>
      <c r="CM146" s="5" t="s">
        <v>395</v>
      </c>
      <c r="CN146" s="5" t="s">
        <v>395</v>
      </c>
      <c r="CO146" s="5" t="s">
        <v>395</v>
      </c>
      <c r="CP146" s="5" t="s">
        <v>395</v>
      </c>
      <c r="CQ146" s="5" t="s">
        <v>395</v>
      </c>
      <c r="CR146" s="5" t="s">
        <v>395</v>
      </c>
      <c r="CS146" s="5" t="s">
        <v>395</v>
      </c>
      <c r="CT146" s="5" t="s">
        <v>395</v>
      </c>
      <c r="CU146" s="5" t="s">
        <v>395</v>
      </c>
      <c r="CV146" s="5" t="s">
        <v>395</v>
      </c>
      <c r="CW146" s="5" t="s">
        <v>395</v>
      </c>
      <c r="CX146" s="5" t="s">
        <v>395</v>
      </c>
      <c r="CY146" s="252" t="s">
        <v>395</v>
      </c>
    </row>
    <row r="147" spans="1:103" x14ac:dyDescent="0.3">
      <c r="A147" s="98" t="s">
        <v>81</v>
      </c>
      <c r="B147" s="98" t="s">
        <v>81</v>
      </c>
      <c r="C147" s="132" t="s">
        <v>20</v>
      </c>
      <c r="D147" s="132"/>
      <c r="E147" s="98"/>
      <c r="F147" s="98"/>
      <c r="G147" s="245">
        <v>42964</v>
      </c>
      <c r="H147" s="1">
        <v>2017</v>
      </c>
      <c r="I147" s="75" t="s">
        <v>33</v>
      </c>
      <c r="J147" s="75">
        <v>10</v>
      </c>
      <c r="K147" s="155">
        <v>0.82981511136988539</v>
      </c>
      <c r="L147" s="5">
        <v>5.8032829261988059</v>
      </c>
      <c r="M147" s="6">
        <v>9.6332518337408315E-2</v>
      </c>
      <c r="N147" s="6">
        <v>0.19850855745721271</v>
      </c>
      <c r="O147" s="6">
        <v>0.60342298288508556</v>
      </c>
      <c r="P147" s="6">
        <v>0.49694865525672371</v>
      </c>
      <c r="Q147" s="6">
        <v>1.2166601466992664</v>
      </c>
      <c r="R147" s="6">
        <v>1.1225330073349633</v>
      </c>
      <c r="S147" s="6">
        <v>0.57712469437652814</v>
      </c>
      <c r="T147" s="6">
        <v>4.3115305623471887</v>
      </c>
      <c r="U147" s="5">
        <f t="shared" si="18"/>
        <v>22.984529052461038</v>
      </c>
      <c r="V147" s="6" t="s">
        <v>60</v>
      </c>
      <c r="W147" s="6">
        <v>0.16390767365384104</v>
      </c>
      <c r="X147" s="6">
        <v>7.6315005839863906E-2</v>
      </c>
      <c r="Y147" s="6">
        <v>0.22087258579075278</v>
      </c>
      <c r="Z147" s="6">
        <v>2.2385735046360079E-2</v>
      </c>
      <c r="AA147" s="6">
        <v>6.2646140349434942E-2</v>
      </c>
      <c r="AB147" s="6">
        <v>4.0497829765687783E-2</v>
      </c>
      <c r="AC147" s="6" t="s">
        <v>395</v>
      </c>
      <c r="AD147" s="6" t="s">
        <v>395</v>
      </c>
      <c r="AE147" s="5">
        <f t="shared" si="16"/>
        <v>0.56423923539958043</v>
      </c>
      <c r="AF147" s="6">
        <v>0.03</v>
      </c>
      <c r="AG147" s="250">
        <f>(AF147/K147)*5</f>
        <v>0.18076315789474498</v>
      </c>
      <c r="AH147" s="253">
        <v>9.7039999999999988</v>
      </c>
      <c r="AI147" s="6" t="s">
        <v>69</v>
      </c>
      <c r="AJ147" s="6" t="s">
        <v>69</v>
      </c>
      <c r="AK147" s="6" t="s">
        <v>56</v>
      </c>
      <c r="AL147" s="6" t="s">
        <v>65</v>
      </c>
      <c r="AM147" s="6" t="s">
        <v>65</v>
      </c>
      <c r="AN147" s="6">
        <v>1.96469</v>
      </c>
      <c r="AO147" s="6">
        <v>1.6240000000000001</v>
      </c>
      <c r="AP147" s="6" t="s">
        <v>71</v>
      </c>
      <c r="AQ147" s="6">
        <v>1.7265599999999999</v>
      </c>
      <c r="AR147" s="6">
        <v>0.55840000000000001</v>
      </c>
      <c r="AS147" s="5" t="s">
        <v>395</v>
      </c>
      <c r="AT147" s="5" t="s">
        <v>395</v>
      </c>
      <c r="AU147" s="5" t="s">
        <v>395</v>
      </c>
      <c r="AV147" s="5" t="s">
        <v>395</v>
      </c>
      <c r="AW147" s="5" t="s">
        <v>395</v>
      </c>
      <c r="AX147" s="5" t="s">
        <v>395</v>
      </c>
      <c r="AY147" s="5" t="s">
        <v>395</v>
      </c>
      <c r="AZ147" s="5" t="s">
        <v>395</v>
      </c>
      <c r="BA147" s="5" t="s">
        <v>395</v>
      </c>
      <c r="BB147" s="5" t="s">
        <v>395</v>
      </c>
      <c r="BC147" s="6">
        <v>132</v>
      </c>
      <c r="BD147" s="6" t="s">
        <v>69</v>
      </c>
      <c r="BE147" s="6" t="s">
        <v>65</v>
      </c>
      <c r="BF147" s="6">
        <v>0.26100000000000001</v>
      </c>
      <c r="BG147" s="6" t="s">
        <v>69</v>
      </c>
      <c r="BH147" s="6">
        <v>0.44500000000000001</v>
      </c>
      <c r="BI147" s="6">
        <v>20.437106374807989</v>
      </c>
      <c r="BJ147" s="6">
        <v>18.399999999999999</v>
      </c>
      <c r="BK147" s="6" t="s">
        <v>71</v>
      </c>
      <c r="BL147" s="6">
        <v>16.407699692780337</v>
      </c>
      <c r="BM147" s="6">
        <v>4.5115994623655915</v>
      </c>
      <c r="BN147" s="6">
        <v>27</v>
      </c>
      <c r="BO147" s="6">
        <v>1.3611720482917833</v>
      </c>
      <c r="BP147" s="6">
        <v>1.6444438182484455</v>
      </c>
      <c r="BQ147" s="6">
        <v>9.7071580569010898</v>
      </c>
      <c r="BR147" s="6">
        <v>15.005279966887915</v>
      </c>
      <c r="BS147" s="6" t="s">
        <v>69</v>
      </c>
      <c r="BT147" s="6">
        <v>2.0702666919764683</v>
      </c>
      <c r="BU147" s="6">
        <v>2.9984145867685736</v>
      </c>
      <c r="BV147" s="6">
        <v>0.29066590515646618</v>
      </c>
      <c r="BW147" s="6" t="s">
        <v>69</v>
      </c>
      <c r="BX147" s="6">
        <v>2.4973528841141155</v>
      </c>
      <c r="BY147" s="6">
        <v>8.3150129123901717</v>
      </c>
      <c r="BZ147" s="6">
        <v>3.2680258926121724</v>
      </c>
      <c r="CA147" s="6" t="s">
        <v>69</v>
      </c>
      <c r="CB147" s="6">
        <v>0.41465581003103635</v>
      </c>
      <c r="CC147" s="6">
        <v>40.090261065902574</v>
      </c>
      <c r="CD147" s="6">
        <v>0.30592828108136355</v>
      </c>
      <c r="CE147" s="6">
        <v>1.3980677827969616</v>
      </c>
      <c r="CF147" s="6" t="s">
        <v>69</v>
      </c>
      <c r="CG147" s="6" t="s">
        <v>69</v>
      </c>
      <c r="CH147" s="6" t="s">
        <v>69</v>
      </c>
      <c r="CI147" s="5" t="s">
        <v>395</v>
      </c>
      <c r="CJ147" s="5" t="s">
        <v>395</v>
      </c>
      <c r="CK147" s="5" t="s">
        <v>395</v>
      </c>
      <c r="CL147" s="5" t="s">
        <v>395</v>
      </c>
      <c r="CM147" s="5" t="s">
        <v>395</v>
      </c>
      <c r="CN147" s="5" t="s">
        <v>395</v>
      </c>
      <c r="CO147" s="5" t="s">
        <v>395</v>
      </c>
      <c r="CP147" s="5" t="s">
        <v>395</v>
      </c>
      <c r="CQ147" s="5" t="s">
        <v>395</v>
      </c>
      <c r="CR147" s="5" t="s">
        <v>395</v>
      </c>
      <c r="CS147" s="5" t="s">
        <v>395</v>
      </c>
      <c r="CT147" s="5" t="s">
        <v>395</v>
      </c>
      <c r="CU147" s="5" t="s">
        <v>395</v>
      </c>
      <c r="CV147" s="5" t="s">
        <v>395</v>
      </c>
      <c r="CW147" s="5" t="s">
        <v>395</v>
      </c>
      <c r="CX147" s="5" t="s">
        <v>395</v>
      </c>
      <c r="CY147" s="252" t="s">
        <v>395</v>
      </c>
    </row>
    <row r="148" spans="1:103" x14ac:dyDescent="0.3">
      <c r="A148" s="98" t="s">
        <v>26</v>
      </c>
      <c r="B148" s="98" t="s">
        <v>26</v>
      </c>
      <c r="C148" s="132" t="s">
        <v>20</v>
      </c>
      <c r="D148" s="132"/>
      <c r="E148" s="98"/>
      <c r="F148" s="98"/>
      <c r="G148" s="245">
        <v>42954</v>
      </c>
      <c r="H148" s="1">
        <v>2017</v>
      </c>
      <c r="I148" s="75" t="s">
        <v>33</v>
      </c>
      <c r="J148" s="75">
        <v>10</v>
      </c>
      <c r="K148" s="155">
        <v>0.43270805070873586</v>
      </c>
      <c r="L148" s="5">
        <v>8.1821929101401167</v>
      </c>
      <c r="M148" s="6">
        <v>5.03813286777543E-2</v>
      </c>
      <c r="N148" s="6">
        <v>8.2500229716070947E-2</v>
      </c>
      <c r="O148" s="6">
        <v>0.41545529725259583</v>
      </c>
      <c r="P148" s="6">
        <v>0.4735826518423229</v>
      </c>
      <c r="Q148" s="6">
        <v>1.0826380593586327</v>
      </c>
      <c r="R148" s="6">
        <v>1.0548470090967565</v>
      </c>
      <c r="S148" s="6">
        <v>0.47786455940457595</v>
      </c>
      <c r="T148" s="6">
        <v>3.6372691353487094</v>
      </c>
      <c r="U148" s="5">
        <f t="shared" si="18"/>
        <v>36.556824842114203</v>
      </c>
      <c r="V148" s="6" t="s">
        <v>60</v>
      </c>
      <c r="W148" s="6">
        <v>2.2025394862093706E-2</v>
      </c>
      <c r="X148" s="6" t="s">
        <v>72</v>
      </c>
      <c r="Y148" s="6">
        <v>2.2455996196163387E-2</v>
      </c>
      <c r="Z148" s="6" t="s">
        <v>60</v>
      </c>
      <c r="AA148" s="6" t="s">
        <v>56</v>
      </c>
      <c r="AB148" s="6" t="s">
        <v>60</v>
      </c>
      <c r="AC148" s="6" t="s">
        <v>395</v>
      </c>
      <c r="AD148" s="6" t="s">
        <v>395</v>
      </c>
      <c r="AE148" s="5">
        <f t="shared" si="16"/>
        <v>4.4481391058257089E-2</v>
      </c>
      <c r="AF148" s="6" t="s">
        <v>70</v>
      </c>
      <c r="AG148" s="250" t="s">
        <v>395</v>
      </c>
      <c r="AH148" s="253">
        <v>4.3474827245804546</v>
      </c>
      <c r="AI148" s="6" t="s">
        <v>69</v>
      </c>
      <c r="AJ148" s="6" t="s">
        <v>69</v>
      </c>
      <c r="AK148" s="6" t="s">
        <v>56</v>
      </c>
      <c r="AL148" s="6" t="s">
        <v>65</v>
      </c>
      <c r="AM148" s="6" t="s">
        <v>65</v>
      </c>
      <c r="AN148" s="6">
        <v>0.14974333662388944</v>
      </c>
      <c r="AO148" s="6" t="s">
        <v>56</v>
      </c>
      <c r="AP148" s="6" t="s">
        <v>71</v>
      </c>
      <c r="AQ148" s="6">
        <v>9.1470878578479783E-2</v>
      </c>
      <c r="AR148" s="6" t="s">
        <v>71</v>
      </c>
      <c r="AS148" s="5" t="s">
        <v>395</v>
      </c>
      <c r="AT148" s="5" t="s">
        <v>395</v>
      </c>
      <c r="AU148" s="5" t="s">
        <v>395</v>
      </c>
      <c r="AV148" s="5" t="s">
        <v>395</v>
      </c>
      <c r="AW148" s="5" t="s">
        <v>395</v>
      </c>
      <c r="AX148" s="5" t="s">
        <v>395</v>
      </c>
      <c r="AY148" s="5" t="s">
        <v>395</v>
      </c>
      <c r="AZ148" s="5" t="s">
        <v>395</v>
      </c>
      <c r="BA148" s="5" t="s">
        <v>395</v>
      </c>
      <c r="BB148" s="5" t="s">
        <v>395</v>
      </c>
      <c r="BC148" s="6">
        <v>91.4</v>
      </c>
      <c r="BD148" s="6" t="s">
        <v>69</v>
      </c>
      <c r="BE148" s="6" t="s">
        <v>65</v>
      </c>
      <c r="BF148" s="6">
        <v>0.40799999999999997</v>
      </c>
      <c r="BG148" s="6" t="s">
        <v>69</v>
      </c>
      <c r="BH148" s="6">
        <v>0.53300000000000003</v>
      </c>
      <c r="BI148" s="6">
        <v>4.3335108868330066</v>
      </c>
      <c r="BJ148" s="6">
        <v>0.504</v>
      </c>
      <c r="BK148" s="6" t="s">
        <v>71</v>
      </c>
      <c r="BL148" s="6">
        <v>2.8130641996075134</v>
      </c>
      <c r="BM148" s="6" t="s">
        <v>71</v>
      </c>
      <c r="BN148" s="6">
        <v>40</v>
      </c>
      <c r="BO148" s="6">
        <v>0.76673258977894021</v>
      </c>
      <c r="BP148" s="6">
        <v>4.672681813702078E-2</v>
      </c>
      <c r="BQ148" s="6">
        <v>0.29004837542681988</v>
      </c>
      <c r="BR148" s="6">
        <v>2.948287810410855</v>
      </c>
      <c r="BS148" s="6" t="s">
        <v>69</v>
      </c>
      <c r="BT148" s="6" t="s">
        <v>399</v>
      </c>
      <c r="BU148" s="6" t="s">
        <v>164</v>
      </c>
      <c r="BV148" s="6" t="s">
        <v>69</v>
      </c>
      <c r="BW148" s="6" t="s">
        <v>69</v>
      </c>
      <c r="BX148" s="6">
        <v>0.85883562054246732</v>
      </c>
      <c r="BY148" s="6">
        <v>0.77377127161330528</v>
      </c>
      <c r="BZ148" s="6">
        <v>2.9813387349800138</v>
      </c>
      <c r="CA148" s="6" t="s">
        <v>69</v>
      </c>
      <c r="CB148" s="6" t="s">
        <v>69</v>
      </c>
      <c r="CC148" s="6" t="s">
        <v>69</v>
      </c>
      <c r="CD148" s="6">
        <v>0.16991732975048457</v>
      </c>
      <c r="CE148" s="6">
        <v>0.54</v>
      </c>
      <c r="CF148" s="6" t="s">
        <v>69</v>
      </c>
      <c r="CG148" s="6" t="s">
        <v>69</v>
      </c>
      <c r="CH148" s="6" t="s">
        <v>69</v>
      </c>
      <c r="CI148" s="5" t="s">
        <v>395</v>
      </c>
      <c r="CJ148" s="5" t="s">
        <v>395</v>
      </c>
      <c r="CK148" s="5" t="s">
        <v>395</v>
      </c>
      <c r="CL148" s="5" t="s">
        <v>395</v>
      </c>
      <c r="CM148" s="5" t="s">
        <v>395</v>
      </c>
      <c r="CN148" s="5" t="s">
        <v>395</v>
      </c>
      <c r="CO148" s="5" t="s">
        <v>395</v>
      </c>
      <c r="CP148" s="5" t="s">
        <v>395</v>
      </c>
      <c r="CQ148" s="5" t="s">
        <v>395</v>
      </c>
      <c r="CR148" s="5" t="s">
        <v>395</v>
      </c>
      <c r="CS148" s="5" t="s">
        <v>395</v>
      </c>
      <c r="CT148" s="5" t="s">
        <v>395</v>
      </c>
      <c r="CU148" s="5" t="s">
        <v>395</v>
      </c>
      <c r="CV148" s="5" t="s">
        <v>395</v>
      </c>
      <c r="CW148" s="5" t="s">
        <v>395</v>
      </c>
      <c r="CX148" s="5" t="s">
        <v>395</v>
      </c>
      <c r="CY148" s="252" t="s">
        <v>395</v>
      </c>
    </row>
    <row r="149" spans="1:103" x14ac:dyDescent="0.3">
      <c r="A149" s="98" t="s">
        <v>7</v>
      </c>
      <c r="B149" s="98" t="s">
        <v>7</v>
      </c>
      <c r="C149" s="132" t="s">
        <v>20</v>
      </c>
      <c r="D149" s="132"/>
      <c r="E149" s="98"/>
      <c r="F149" s="98"/>
      <c r="G149" s="245">
        <v>42956</v>
      </c>
      <c r="H149" s="1">
        <v>2017</v>
      </c>
      <c r="I149" s="75" t="s">
        <v>33</v>
      </c>
      <c r="J149" s="75">
        <v>10</v>
      </c>
      <c r="K149" s="155">
        <v>0.46805819101833057</v>
      </c>
      <c r="L149" s="5">
        <v>3.1455884252680653</v>
      </c>
      <c r="M149" s="6">
        <v>7.6562804284323271E-2</v>
      </c>
      <c r="N149" s="6">
        <v>0.40957643622200585</v>
      </c>
      <c r="O149" s="6">
        <v>1.5403992210321324</v>
      </c>
      <c r="P149" s="6">
        <v>1.3516553067185979</v>
      </c>
      <c r="Q149" s="6">
        <v>3.1436757546251219</v>
      </c>
      <c r="R149" s="6">
        <v>2.7204284323271666</v>
      </c>
      <c r="S149" s="6">
        <v>1.2466309639727362</v>
      </c>
      <c r="T149" s="6">
        <v>10.488928919182083</v>
      </c>
      <c r="U149" s="5">
        <f t="shared" si="18"/>
        <v>97.608307981791555</v>
      </c>
      <c r="V149" s="6" t="s">
        <v>60</v>
      </c>
      <c r="W149" s="6">
        <v>0.12084940924830651</v>
      </c>
      <c r="X149" s="6">
        <v>4.4641664891511834E-2</v>
      </c>
      <c r="Y149" s="6">
        <v>0.12377145078534192</v>
      </c>
      <c r="Z149" s="6" t="s">
        <v>60</v>
      </c>
      <c r="AA149" s="6">
        <v>2.6555868919140128E-2</v>
      </c>
      <c r="AB149" s="6">
        <v>2.2398682882786458E-2</v>
      </c>
      <c r="AC149" s="6" t="s">
        <v>395</v>
      </c>
      <c r="AD149" s="6" t="s">
        <v>395</v>
      </c>
      <c r="AE149" s="5">
        <f t="shared" si="16"/>
        <v>0.33821707672708684</v>
      </c>
      <c r="AF149" s="6">
        <v>0.12</v>
      </c>
      <c r="AG149" s="250">
        <f>(AF149/K149)*5</f>
        <v>1.2818918918919253</v>
      </c>
      <c r="AH149" s="253">
        <v>11.090217203388498</v>
      </c>
      <c r="AI149" s="6" t="s">
        <v>69</v>
      </c>
      <c r="AJ149" s="6" t="s">
        <v>69</v>
      </c>
      <c r="AK149" s="6" t="s">
        <v>56</v>
      </c>
      <c r="AL149" s="6" t="s">
        <v>65</v>
      </c>
      <c r="AM149" s="6" t="s">
        <v>65</v>
      </c>
      <c r="AN149" s="6">
        <v>1.6104819986012227</v>
      </c>
      <c r="AO149" s="6">
        <v>1.1080751882062645</v>
      </c>
      <c r="AP149" s="6" t="s">
        <v>71</v>
      </c>
      <c r="AQ149" s="6">
        <v>0.90754027378314239</v>
      </c>
      <c r="AR149" s="6" t="s">
        <v>71</v>
      </c>
      <c r="AS149" s="5" t="s">
        <v>395</v>
      </c>
      <c r="AT149" s="5" t="s">
        <v>395</v>
      </c>
      <c r="AU149" s="5" t="s">
        <v>395</v>
      </c>
      <c r="AV149" s="5" t="s">
        <v>395</v>
      </c>
      <c r="AW149" s="5" t="s">
        <v>395</v>
      </c>
      <c r="AX149" s="5" t="s">
        <v>395</v>
      </c>
      <c r="AY149" s="5" t="s">
        <v>395</v>
      </c>
      <c r="AZ149" s="5" t="s">
        <v>395</v>
      </c>
      <c r="BA149" s="5" t="s">
        <v>395</v>
      </c>
      <c r="BB149" s="5" t="s">
        <v>395</v>
      </c>
      <c r="BC149" s="6">
        <v>235</v>
      </c>
      <c r="BD149" s="6" t="s">
        <v>69</v>
      </c>
      <c r="BE149" s="6" t="s">
        <v>65</v>
      </c>
      <c r="BF149" s="6">
        <v>0.40799999999999997</v>
      </c>
      <c r="BG149" s="6" t="s">
        <v>69</v>
      </c>
      <c r="BH149" s="6">
        <v>0.58099999999999996</v>
      </c>
      <c r="BI149" s="6">
        <v>26.279533630620588</v>
      </c>
      <c r="BJ149" s="6">
        <v>18.899999999999999</v>
      </c>
      <c r="BK149" s="6" t="s">
        <v>71</v>
      </c>
      <c r="BL149" s="6">
        <v>14.762411742846524</v>
      </c>
      <c r="BM149" s="6">
        <v>0.42110925306577479</v>
      </c>
      <c r="BN149" s="6">
        <v>160</v>
      </c>
      <c r="BO149" s="6">
        <v>1.02959689227896</v>
      </c>
      <c r="BP149" s="6">
        <v>0.43569599142915366</v>
      </c>
      <c r="BQ149" s="6">
        <v>0.14792084186189128</v>
      </c>
      <c r="BR149" s="6">
        <v>2.4661024357520311</v>
      </c>
      <c r="BS149" s="6">
        <v>0.2216714311777937</v>
      </c>
      <c r="BT149" s="6">
        <v>1.9359517680412279</v>
      </c>
      <c r="BU149" s="6" t="s">
        <v>164</v>
      </c>
      <c r="BV149" s="6" t="s">
        <v>69</v>
      </c>
      <c r="BW149" s="6" t="s">
        <v>69</v>
      </c>
      <c r="BX149" s="6">
        <v>1.6030273911431345</v>
      </c>
      <c r="BY149" s="6">
        <v>2.0619313969650945</v>
      </c>
      <c r="BZ149" s="6">
        <v>2.1148820418676868</v>
      </c>
      <c r="CA149" s="6" t="s">
        <v>69</v>
      </c>
      <c r="CB149" s="6">
        <v>0.22514680442846036</v>
      </c>
      <c r="CC149" s="6">
        <v>10.00967189666185</v>
      </c>
      <c r="CD149" s="6">
        <v>0.22868096315545913</v>
      </c>
      <c r="CE149" s="6" t="s">
        <v>46</v>
      </c>
      <c r="CF149" s="6" t="s">
        <v>69</v>
      </c>
      <c r="CG149" s="6" t="s">
        <v>69</v>
      </c>
      <c r="CH149" s="6" t="s">
        <v>69</v>
      </c>
      <c r="CI149" s="5" t="s">
        <v>395</v>
      </c>
      <c r="CJ149" s="5" t="s">
        <v>395</v>
      </c>
      <c r="CK149" s="5" t="s">
        <v>395</v>
      </c>
      <c r="CL149" s="5" t="s">
        <v>395</v>
      </c>
      <c r="CM149" s="5" t="s">
        <v>395</v>
      </c>
      <c r="CN149" s="5" t="s">
        <v>395</v>
      </c>
      <c r="CO149" s="5" t="s">
        <v>395</v>
      </c>
      <c r="CP149" s="5" t="s">
        <v>395</v>
      </c>
      <c r="CQ149" s="5" t="s">
        <v>395</v>
      </c>
      <c r="CR149" s="5" t="s">
        <v>395</v>
      </c>
      <c r="CS149" s="5" t="s">
        <v>395</v>
      </c>
      <c r="CT149" s="5" t="s">
        <v>395</v>
      </c>
      <c r="CU149" s="5" t="s">
        <v>395</v>
      </c>
      <c r="CV149" s="5" t="s">
        <v>395</v>
      </c>
      <c r="CW149" s="5" t="s">
        <v>395</v>
      </c>
      <c r="CX149" s="5" t="s">
        <v>395</v>
      </c>
      <c r="CY149" s="252" t="s">
        <v>395</v>
      </c>
    </row>
    <row r="150" spans="1:103" x14ac:dyDescent="0.3">
      <c r="A150" s="98" t="s">
        <v>32</v>
      </c>
      <c r="B150" s="98" t="s">
        <v>32</v>
      </c>
      <c r="C150" s="132" t="s">
        <v>31</v>
      </c>
      <c r="D150" s="132"/>
      <c r="E150" s="98"/>
      <c r="F150" s="98"/>
      <c r="G150" s="245" t="s">
        <v>31</v>
      </c>
      <c r="H150" s="1">
        <v>2016</v>
      </c>
      <c r="I150" s="75" t="s">
        <v>3</v>
      </c>
      <c r="J150" s="75" t="s">
        <v>158</v>
      </c>
      <c r="K150" s="155" t="s">
        <v>395</v>
      </c>
      <c r="L150" s="5" t="s">
        <v>395</v>
      </c>
      <c r="M150" s="5">
        <v>1.4999999999999999E-2</v>
      </c>
      <c r="N150" s="5">
        <v>2.3E-2</v>
      </c>
      <c r="O150" s="5">
        <v>0.01</v>
      </c>
      <c r="P150" s="5">
        <v>0.01</v>
      </c>
      <c r="Q150" s="5">
        <v>5.0000000000000001E-3</v>
      </c>
      <c r="R150" s="5">
        <v>0.01</v>
      </c>
      <c r="S150" s="5">
        <v>5.0000000000000001E-3</v>
      </c>
      <c r="T150" s="5" t="s">
        <v>395</v>
      </c>
      <c r="U150" s="5" t="s">
        <v>395</v>
      </c>
      <c r="V150" s="5">
        <v>1.2999999999999999E-2</v>
      </c>
      <c r="W150" s="5">
        <v>0.01</v>
      </c>
      <c r="X150" s="5">
        <v>1.2999999999999999E-2</v>
      </c>
      <c r="Y150" s="5">
        <v>1.4999999999999999E-2</v>
      </c>
      <c r="Z150" s="5">
        <v>0.01</v>
      </c>
      <c r="AA150" s="5">
        <v>0.02</v>
      </c>
      <c r="AB150" s="5">
        <v>1.2999999999999999E-2</v>
      </c>
      <c r="AC150" s="5">
        <v>0.1</v>
      </c>
      <c r="AD150" s="5" t="s">
        <v>395</v>
      </c>
      <c r="AE150" s="5">
        <f t="shared" si="16"/>
        <v>8.4000000000000005E-2</v>
      </c>
      <c r="AF150" s="5">
        <v>0.3</v>
      </c>
      <c r="AG150" s="250" t="s">
        <v>395</v>
      </c>
      <c r="AH150" s="250">
        <v>0.2</v>
      </c>
      <c r="AI150" s="5">
        <v>0.2</v>
      </c>
      <c r="AJ150" s="5">
        <v>0.2</v>
      </c>
      <c r="AK150" s="5">
        <v>0.02</v>
      </c>
      <c r="AL150" s="5">
        <v>0.1</v>
      </c>
      <c r="AM150" s="5">
        <v>0.1</v>
      </c>
      <c r="AN150" s="5">
        <v>0.1</v>
      </c>
      <c r="AO150" s="5">
        <v>0.02</v>
      </c>
      <c r="AP150" s="5">
        <v>0.05</v>
      </c>
      <c r="AQ150" s="5">
        <v>0.1</v>
      </c>
      <c r="AR150" s="5">
        <v>0.05</v>
      </c>
      <c r="AS150" s="5" t="s">
        <v>395</v>
      </c>
      <c r="AT150" s="5" t="s">
        <v>395</v>
      </c>
      <c r="AU150" s="5" t="s">
        <v>395</v>
      </c>
      <c r="AV150" s="5" t="s">
        <v>395</v>
      </c>
      <c r="AW150" s="5" t="s">
        <v>395</v>
      </c>
      <c r="AX150" s="5" t="s">
        <v>395</v>
      </c>
      <c r="AY150" s="5" t="s">
        <v>395</v>
      </c>
      <c r="AZ150" s="5" t="s">
        <v>395</v>
      </c>
      <c r="BA150" s="5" t="s">
        <v>395</v>
      </c>
      <c r="BB150" s="5" t="s">
        <v>395</v>
      </c>
      <c r="BC150" s="5">
        <v>0.2</v>
      </c>
      <c r="BD150" s="5">
        <v>0.2</v>
      </c>
      <c r="BE150" s="5">
        <v>0.21</v>
      </c>
      <c r="BF150" s="5">
        <v>0.02</v>
      </c>
      <c r="BG150" s="5">
        <v>0.2</v>
      </c>
      <c r="BH150" s="5">
        <v>0.05</v>
      </c>
      <c r="BI150" s="5">
        <v>0.1</v>
      </c>
      <c r="BJ150" s="5">
        <v>0.1</v>
      </c>
      <c r="BK150" s="5">
        <v>0.05</v>
      </c>
      <c r="BL150" s="5">
        <v>0.1</v>
      </c>
      <c r="BM150" s="5">
        <v>0.05</v>
      </c>
      <c r="BN150" s="5">
        <v>0.03</v>
      </c>
      <c r="BO150" s="5" t="s">
        <v>395</v>
      </c>
      <c r="BP150" s="5" t="s">
        <v>395</v>
      </c>
      <c r="BQ150" s="5" t="s">
        <v>395</v>
      </c>
      <c r="BR150" s="5" t="s">
        <v>395</v>
      </c>
      <c r="BS150" s="5" t="s">
        <v>395</v>
      </c>
      <c r="BT150" s="5" t="s">
        <v>395</v>
      </c>
      <c r="BU150" s="5" t="s">
        <v>395</v>
      </c>
      <c r="BV150" s="5" t="s">
        <v>395</v>
      </c>
      <c r="BW150" s="5" t="s">
        <v>395</v>
      </c>
      <c r="BX150" s="5" t="s">
        <v>395</v>
      </c>
      <c r="BY150" s="5" t="s">
        <v>395</v>
      </c>
      <c r="BZ150" s="5" t="s">
        <v>395</v>
      </c>
      <c r="CA150" s="5" t="s">
        <v>395</v>
      </c>
      <c r="CB150" s="5" t="s">
        <v>395</v>
      </c>
      <c r="CC150" s="5" t="s">
        <v>395</v>
      </c>
      <c r="CD150" s="5" t="s">
        <v>395</v>
      </c>
      <c r="CE150" s="5" t="s">
        <v>395</v>
      </c>
      <c r="CF150" s="5" t="s">
        <v>395</v>
      </c>
      <c r="CG150" s="5" t="s">
        <v>395</v>
      </c>
      <c r="CH150" s="5" t="s">
        <v>395</v>
      </c>
      <c r="CI150" s="5" t="s">
        <v>395</v>
      </c>
      <c r="CJ150" s="5" t="s">
        <v>395</v>
      </c>
      <c r="CK150" s="5" t="s">
        <v>395</v>
      </c>
      <c r="CL150" s="5" t="s">
        <v>395</v>
      </c>
      <c r="CM150" s="5" t="s">
        <v>395</v>
      </c>
      <c r="CN150" s="5" t="s">
        <v>395</v>
      </c>
      <c r="CO150" s="5" t="s">
        <v>395</v>
      </c>
      <c r="CP150" s="5" t="s">
        <v>395</v>
      </c>
      <c r="CQ150" s="5" t="s">
        <v>395</v>
      </c>
      <c r="CR150" s="5" t="s">
        <v>395</v>
      </c>
      <c r="CS150" s="5" t="s">
        <v>395</v>
      </c>
      <c r="CT150" s="5" t="s">
        <v>395</v>
      </c>
      <c r="CU150" s="5" t="s">
        <v>395</v>
      </c>
      <c r="CV150" s="5" t="s">
        <v>395</v>
      </c>
      <c r="CW150" s="5" t="s">
        <v>395</v>
      </c>
      <c r="CX150" s="5" t="s">
        <v>395</v>
      </c>
      <c r="CY150" s="252" t="s">
        <v>395</v>
      </c>
    </row>
    <row r="151" spans="1:103" x14ac:dyDescent="0.3">
      <c r="A151" s="98" t="s">
        <v>21</v>
      </c>
      <c r="B151" s="98" t="s">
        <v>21</v>
      </c>
      <c r="C151" s="132" t="s">
        <v>20</v>
      </c>
      <c r="D151" s="132"/>
      <c r="E151" s="98"/>
      <c r="F151" s="98"/>
      <c r="G151" s="245">
        <v>42614</v>
      </c>
      <c r="H151" s="1">
        <v>2016</v>
      </c>
      <c r="I151" s="75" t="s">
        <v>33</v>
      </c>
      <c r="J151" s="75">
        <v>10</v>
      </c>
      <c r="K151" s="155">
        <v>0.66067168287758504</v>
      </c>
      <c r="L151" s="5">
        <v>2.8733346589779099</v>
      </c>
      <c r="M151" s="5" t="s">
        <v>62</v>
      </c>
      <c r="N151" s="5">
        <v>0.13023213306525316</v>
      </c>
      <c r="O151" s="5">
        <v>1.297569000182782</v>
      </c>
      <c r="P151" s="5">
        <v>1.0118351306890878</v>
      </c>
      <c r="Q151" s="5">
        <v>5.6161181518598653</v>
      </c>
      <c r="R151" s="5">
        <v>4.4733788756080939</v>
      </c>
      <c r="S151" s="5">
        <v>1.9288064339243283</v>
      </c>
      <c r="T151" s="5">
        <v>14.45793972532941</v>
      </c>
      <c r="U151" s="5">
        <f t="shared" si="18"/>
        <v>101.7608665780499</v>
      </c>
      <c r="V151" s="5" t="s">
        <v>73</v>
      </c>
      <c r="W151" s="5">
        <v>0.2511431386121587</v>
      </c>
      <c r="X151" s="5">
        <v>8.5350901242628369E-2</v>
      </c>
      <c r="Y151" s="5">
        <v>6.2817256224294335E-2</v>
      </c>
      <c r="Z151" s="5">
        <v>2.1274782168147783E-2</v>
      </c>
      <c r="AA151" s="5">
        <v>4.6955584311947463E-2</v>
      </c>
      <c r="AB151" s="5">
        <v>1.2840401071899843E-2</v>
      </c>
      <c r="AC151" s="5" t="s">
        <v>65</v>
      </c>
      <c r="AD151" s="5">
        <v>0.480382063631076</v>
      </c>
      <c r="AE151" s="5">
        <f t="shared" ref="AE151:AE177" si="19">SUM(V151,W151,Y151,X151,AB151,AA151)</f>
        <v>0.45910728146292873</v>
      </c>
      <c r="AF151" s="5" t="s">
        <v>65</v>
      </c>
      <c r="AG151" s="250" t="s">
        <v>395</v>
      </c>
      <c r="AH151" s="250">
        <v>19.739661185849528</v>
      </c>
      <c r="AI151" s="5" t="s">
        <v>46</v>
      </c>
      <c r="AJ151" s="5" t="s">
        <v>69</v>
      </c>
      <c r="AK151" s="5" t="s">
        <v>56</v>
      </c>
      <c r="AL151" s="5" t="s">
        <v>65</v>
      </c>
      <c r="AM151" s="5" t="s">
        <v>65</v>
      </c>
      <c r="AN151" s="5">
        <v>0.70112938050157791</v>
      </c>
      <c r="AO151" s="5">
        <v>0.67796047168244478</v>
      </c>
      <c r="AP151" s="5" t="s">
        <v>71</v>
      </c>
      <c r="AQ151" s="5">
        <v>0.39760837070254113</v>
      </c>
      <c r="AR151" s="5" t="s">
        <v>71</v>
      </c>
      <c r="AS151" s="5" t="s">
        <v>395</v>
      </c>
      <c r="AT151" s="5" t="s">
        <v>395</v>
      </c>
      <c r="AU151" s="5" t="s">
        <v>395</v>
      </c>
      <c r="AV151" s="5" t="s">
        <v>395</v>
      </c>
      <c r="AW151" s="5" t="s">
        <v>395</v>
      </c>
      <c r="AX151" s="5" t="s">
        <v>395</v>
      </c>
      <c r="AY151" s="5" t="s">
        <v>395</v>
      </c>
      <c r="AZ151" s="5" t="s">
        <v>395</v>
      </c>
      <c r="BA151" s="5" t="s">
        <v>395</v>
      </c>
      <c r="BB151" s="5" t="s">
        <v>395</v>
      </c>
      <c r="BC151" s="5">
        <v>320</v>
      </c>
      <c r="BD151" s="5" t="s">
        <v>126</v>
      </c>
      <c r="BE151" s="5" t="s">
        <v>65</v>
      </c>
      <c r="BF151" s="5">
        <v>8.8244978597299975E-2</v>
      </c>
      <c r="BG151" s="5" t="s">
        <v>69</v>
      </c>
      <c r="BH151" s="5">
        <v>0.2446493249917682</v>
      </c>
      <c r="BI151" s="5">
        <v>8.4818077049720113</v>
      </c>
      <c r="BJ151" s="5">
        <v>7.0003292723081998</v>
      </c>
      <c r="BK151" s="5" t="s">
        <v>71</v>
      </c>
      <c r="BL151" s="5">
        <v>6.4260783668093504</v>
      </c>
      <c r="BM151" s="5">
        <v>0.25384425419822187</v>
      </c>
      <c r="BN151" s="5">
        <v>100</v>
      </c>
      <c r="BO151" s="5" t="s">
        <v>395</v>
      </c>
      <c r="BP151" s="5" t="s">
        <v>395</v>
      </c>
      <c r="BQ151" s="5" t="s">
        <v>395</v>
      </c>
      <c r="BR151" s="5" t="s">
        <v>395</v>
      </c>
      <c r="BS151" s="5" t="s">
        <v>395</v>
      </c>
      <c r="BT151" s="5" t="s">
        <v>395</v>
      </c>
      <c r="BU151" s="5" t="s">
        <v>395</v>
      </c>
      <c r="BV151" s="5" t="s">
        <v>395</v>
      </c>
      <c r="BW151" s="5" t="s">
        <v>395</v>
      </c>
      <c r="BX151" s="5" t="s">
        <v>395</v>
      </c>
      <c r="BY151" s="5" t="s">
        <v>395</v>
      </c>
      <c r="BZ151" s="5" t="s">
        <v>395</v>
      </c>
      <c r="CA151" s="5" t="s">
        <v>395</v>
      </c>
      <c r="CB151" s="5" t="s">
        <v>395</v>
      </c>
      <c r="CC151" s="5" t="s">
        <v>395</v>
      </c>
      <c r="CD151" s="5" t="s">
        <v>395</v>
      </c>
      <c r="CE151" s="5" t="s">
        <v>395</v>
      </c>
      <c r="CF151" s="5" t="s">
        <v>395</v>
      </c>
      <c r="CG151" s="5" t="s">
        <v>395</v>
      </c>
      <c r="CH151" s="5" t="s">
        <v>395</v>
      </c>
      <c r="CI151" s="5" t="s">
        <v>395</v>
      </c>
      <c r="CJ151" s="5" t="s">
        <v>395</v>
      </c>
      <c r="CK151" s="5" t="s">
        <v>395</v>
      </c>
      <c r="CL151" s="5" t="s">
        <v>395</v>
      </c>
      <c r="CM151" s="5" t="s">
        <v>395</v>
      </c>
      <c r="CN151" s="5" t="s">
        <v>395</v>
      </c>
      <c r="CO151" s="5" t="s">
        <v>395</v>
      </c>
      <c r="CP151" s="5" t="s">
        <v>395</v>
      </c>
      <c r="CQ151" s="5" t="s">
        <v>395</v>
      </c>
      <c r="CR151" s="5" t="s">
        <v>395</v>
      </c>
      <c r="CS151" s="5" t="s">
        <v>395</v>
      </c>
      <c r="CT151" s="5" t="s">
        <v>395</v>
      </c>
      <c r="CU151" s="5" t="s">
        <v>395</v>
      </c>
      <c r="CV151" s="5" t="s">
        <v>395</v>
      </c>
      <c r="CW151" s="5" t="s">
        <v>395</v>
      </c>
      <c r="CX151" s="5" t="s">
        <v>395</v>
      </c>
      <c r="CY151" s="252" t="s">
        <v>395</v>
      </c>
    </row>
    <row r="152" spans="1:103" x14ac:dyDescent="0.3">
      <c r="A152" s="98" t="s">
        <v>22</v>
      </c>
      <c r="B152" s="98" t="s">
        <v>22</v>
      </c>
      <c r="C152" s="132" t="s">
        <v>20</v>
      </c>
      <c r="D152" s="132"/>
      <c r="E152" s="98"/>
      <c r="F152" s="98"/>
      <c r="G152" s="245">
        <v>42622</v>
      </c>
      <c r="H152" s="1">
        <v>2016</v>
      </c>
      <c r="I152" s="75" t="s">
        <v>33</v>
      </c>
      <c r="J152" s="75">
        <v>10</v>
      </c>
      <c r="K152" s="155">
        <v>0.77300741669277995</v>
      </c>
      <c r="L152" s="5">
        <v>3.0766619279000098</v>
      </c>
      <c r="M152" s="5">
        <v>0.12132208709297765</v>
      </c>
      <c r="N152" s="5">
        <v>1.2118477834444881</v>
      </c>
      <c r="O152" s="5">
        <v>4.4219616338628036</v>
      </c>
      <c r="P152" s="5">
        <v>3.2032687649718539</v>
      </c>
      <c r="Q152" s="5">
        <v>9.3394304210469503</v>
      </c>
      <c r="R152" s="5">
        <v>7.8275574323083426</v>
      </c>
      <c r="S152" s="5">
        <v>2.7995292271479011</v>
      </c>
      <c r="T152" s="5">
        <v>28.924917349875319</v>
      </c>
      <c r="U152" s="5">
        <f t="shared" si="18"/>
        <v>166.37387966437936</v>
      </c>
      <c r="V152" s="5" t="s">
        <v>59</v>
      </c>
      <c r="W152" s="5">
        <v>0.19571812144278775</v>
      </c>
      <c r="X152" s="5">
        <v>7.7131717232803432E-2</v>
      </c>
      <c r="Y152" s="5">
        <v>0.15874111842481453</v>
      </c>
      <c r="Z152" s="5">
        <v>2.9321607861908423E-2</v>
      </c>
      <c r="AA152" s="5">
        <v>5.1421144821868957E-2</v>
      </c>
      <c r="AB152" s="5">
        <v>3.2065994804648619E-2</v>
      </c>
      <c r="AC152" s="5" t="s">
        <v>65</v>
      </c>
      <c r="AD152" s="5">
        <v>0.54439970458883169</v>
      </c>
      <c r="AE152" s="5">
        <f t="shared" si="19"/>
        <v>0.51507809672692328</v>
      </c>
      <c r="AF152" s="5" t="s">
        <v>65</v>
      </c>
      <c r="AG152" s="250" t="s">
        <v>395</v>
      </c>
      <c r="AH152" s="250">
        <v>5.9728672696162306</v>
      </c>
      <c r="AI152" s="5" t="s">
        <v>46</v>
      </c>
      <c r="AJ152" s="5" t="s">
        <v>69</v>
      </c>
      <c r="AK152" s="5" t="s">
        <v>56</v>
      </c>
      <c r="AL152" s="5" t="s">
        <v>65</v>
      </c>
      <c r="AM152" s="5" t="s">
        <v>65</v>
      </c>
      <c r="AN152" s="5">
        <v>0.23816507781308563</v>
      </c>
      <c r="AO152" s="5">
        <v>0.12336022162470464</v>
      </c>
      <c r="AP152" s="5" t="s">
        <v>71</v>
      </c>
      <c r="AQ152" s="5">
        <v>0.21494337162877858</v>
      </c>
      <c r="AR152" s="5">
        <v>0.122</v>
      </c>
      <c r="AS152" s="5" t="s">
        <v>395</v>
      </c>
      <c r="AT152" s="5" t="s">
        <v>395</v>
      </c>
      <c r="AU152" s="5" t="s">
        <v>395</v>
      </c>
      <c r="AV152" s="5" t="s">
        <v>395</v>
      </c>
      <c r="AW152" s="5" t="s">
        <v>395</v>
      </c>
      <c r="AX152" s="5" t="s">
        <v>395</v>
      </c>
      <c r="AY152" s="5" t="s">
        <v>395</v>
      </c>
      <c r="AZ152" s="5" t="s">
        <v>395</v>
      </c>
      <c r="BA152" s="5" t="s">
        <v>395</v>
      </c>
      <c r="BB152" s="5" t="s">
        <v>395</v>
      </c>
      <c r="BC152" s="5">
        <v>130</v>
      </c>
      <c r="BD152" s="5" t="s">
        <v>126</v>
      </c>
      <c r="BE152" s="5" t="s">
        <v>65</v>
      </c>
      <c r="BF152" s="5">
        <v>8.4673255642425158E-2</v>
      </c>
      <c r="BG152" s="5" t="s">
        <v>69</v>
      </c>
      <c r="BH152" s="5">
        <v>0.50685941879333241</v>
      </c>
      <c r="BI152" s="5">
        <v>4.4724148104440182</v>
      </c>
      <c r="BJ152" s="5">
        <v>1.8911343856025964</v>
      </c>
      <c r="BK152" s="5" t="s">
        <v>71</v>
      </c>
      <c r="BL152" s="5">
        <v>4.9907065938929049</v>
      </c>
      <c r="BM152" s="5">
        <v>0.99304469685794383</v>
      </c>
      <c r="BN152" s="5">
        <v>120</v>
      </c>
      <c r="BO152" s="5" t="s">
        <v>395</v>
      </c>
      <c r="BP152" s="5" t="s">
        <v>395</v>
      </c>
      <c r="BQ152" s="5" t="s">
        <v>395</v>
      </c>
      <c r="BR152" s="5" t="s">
        <v>395</v>
      </c>
      <c r="BS152" s="5" t="s">
        <v>395</v>
      </c>
      <c r="BT152" s="5" t="s">
        <v>395</v>
      </c>
      <c r="BU152" s="5" t="s">
        <v>395</v>
      </c>
      <c r="BV152" s="5" t="s">
        <v>395</v>
      </c>
      <c r="BW152" s="5" t="s">
        <v>395</v>
      </c>
      <c r="BX152" s="5" t="s">
        <v>395</v>
      </c>
      <c r="BY152" s="5" t="s">
        <v>395</v>
      </c>
      <c r="BZ152" s="5" t="s">
        <v>395</v>
      </c>
      <c r="CA152" s="5" t="s">
        <v>395</v>
      </c>
      <c r="CB152" s="5" t="s">
        <v>395</v>
      </c>
      <c r="CC152" s="5" t="s">
        <v>395</v>
      </c>
      <c r="CD152" s="5" t="s">
        <v>395</v>
      </c>
      <c r="CE152" s="5" t="s">
        <v>395</v>
      </c>
      <c r="CF152" s="5" t="s">
        <v>395</v>
      </c>
      <c r="CG152" s="5" t="s">
        <v>395</v>
      </c>
      <c r="CH152" s="5" t="s">
        <v>395</v>
      </c>
      <c r="CI152" s="5" t="s">
        <v>395</v>
      </c>
      <c r="CJ152" s="5" t="s">
        <v>395</v>
      </c>
      <c r="CK152" s="5" t="s">
        <v>395</v>
      </c>
      <c r="CL152" s="5" t="s">
        <v>395</v>
      </c>
      <c r="CM152" s="5" t="s">
        <v>395</v>
      </c>
      <c r="CN152" s="5" t="s">
        <v>395</v>
      </c>
      <c r="CO152" s="5" t="s">
        <v>395</v>
      </c>
      <c r="CP152" s="5" t="s">
        <v>395</v>
      </c>
      <c r="CQ152" s="5" t="s">
        <v>395</v>
      </c>
      <c r="CR152" s="5" t="s">
        <v>395</v>
      </c>
      <c r="CS152" s="5" t="s">
        <v>395</v>
      </c>
      <c r="CT152" s="5" t="s">
        <v>395</v>
      </c>
      <c r="CU152" s="5" t="s">
        <v>395</v>
      </c>
      <c r="CV152" s="5" t="s">
        <v>395</v>
      </c>
      <c r="CW152" s="5" t="s">
        <v>395</v>
      </c>
      <c r="CX152" s="5" t="s">
        <v>395</v>
      </c>
      <c r="CY152" s="252" t="s">
        <v>395</v>
      </c>
    </row>
    <row r="153" spans="1:103" x14ac:dyDescent="0.3">
      <c r="A153" s="98" t="s">
        <v>23</v>
      </c>
      <c r="B153" s="98" t="s">
        <v>23</v>
      </c>
      <c r="C153" s="132" t="s">
        <v>20</v>
      </c>
      <c r="D153" s="132"/>
      <c r="E153" s="98"/>
      <c r="F153" s="98"/>
      <c r="G153" s="245">
        <v>42627</v>
      </c>
      <c r="H153" s="1">
        <v>2016</v>
      </c>
      <c r="I153" s="75" t="s">
        <v>33</v>
      </c>
      <c r="J153" s="75">
        <v>10</v>
      </c>
      <c r="K153" s="155">
        <v>0.71662571662572006</v>
      </c>
      <c r="L153" s="5">
        <v>3.1573743713192699</v>
      </c>
      <c r="M153" s="5">
        <v>0.3024430523827647</v>
      </c>
      <c r="N153" s="5">
        <v>1.7931659333722441</v>
      </c>
      <c r="O153" s="5">
        <v>6.4924432824580691</v>
      </c>
      <c r="P153" s="5">
        <v>4.7824289781256848</v>
      </c>
      <c r="Q153" s="5">
        <v>9.8990612258406614</v>
      </c>
      <c r="R153" s="5">
        <v>8.6676067013755986</v>
      </c>
      <c r="S153" s="5">
        <v>3.5683876039350384</v>
      </c>
      <c r="T153" s="5">
        <v>35.505536777490057</v>
      </c>
      <c r="U153" s="5">
        <f t="shared" si="18"/>
        <v>214.35951213156412</v>
      </c>
      <c r="V153" s="5" t="s">
        <v>59</v>
      </c>
      <c r="W153" s="5">
        <v>5.8149948861757832E-2</v>
      </c>
      <c r="X153" s="5">
        <v>1.7721482106999017E-2</v>
      </c>
      <c r="Y153" s="5">
        <v>1.8086875371105329E-2</v>
      </c>
      <c r="Z153" s="5" t="s">
        <v>59</v>
      </c>
      <c r="AA153" s="5">
        <v>2.0214889958979045E-2</v>
      </c>
      <c r="AB153" s="5">
        <v>3.3030907942994653E-2</v>
      </c>
      <c r="AC153" s="5" t="s">
        <v>65</v>
      </c>
      <c r="AD153" s="5">
        <v>0.14720410424183586</v>
      </c>
      <c r="AE153" s="5">
        <f t="shared" si="19"/>
        <v>0.14720410424183586</v>
      </c>
      <c r="AF153" s="5" t="s">
        <v>65</v>
      </c>
      <c r="AG153" s="250" t="s">
        <v>395</v>
      </c>
      <c r="AH153" s="250">
        <v>7.2426350245499185</v>
      </c>
      <c r="AI153" s="5" t="s">
        <v>46</v>
      </c>
      <c r="AJ153" s="5" t="s">
        <v>69</v>
      </c>
      <c r="AK153" s="5" t="s">
        <v>56</v>
      </c>
      <c r="AL153" s="5" t="s">
        <v>65</v>
      </c>
      <c r="AM153" s="5" t="s">
        <v>65</v>
      </c>
      <c r="AN153" s="5">
        <v>0.57144026186579377</v>
      </c>
      <c r="AO153" s="5">
        <v>0.25973813420621927</v>
      </c>
      <c r="AP153" s="5" t="s">
        <v>71</v>
      </c>
      <c r="AQ153" s="5">
        <v>0.54893617021276597</v>
      </c>
      <c r="AR153" s="5">
        <v>7.6972176759410801E-2</v>
      </c>
      <c r="AS153" s="5" t="s">
        <v>395</v>
      </c>
      <c r="AT153" s="5" t="s">
        <v>395</v>
      </c>
      <c r="AU153" s="5" t="s">
        <v>395</v>
      </c>
      <c r="AV153" s="5" t="s">
        <v>395</v>
      </c>
      <c r="AW153" s="5" t="s">
        <v>395</v>
      </c>
      <c r="AX153" s="5" t="s">
        <v>395</v>
      </c>
      <c r="AY153" s="5" t="s">
        <v>395</v>
      </c>
      <c r="AZ153" s="5" t="s">
        <v>395</v>
      </c>
      <c r="BA153" s="5" t="s">
        <v>395</v>
      </c>
      <c r="BB153" s="5" t="s">
        <v>395</v>
      </c>
      <c r="BC153" s="5">
        <v>120</v>
      </c>
      <c r="BD153" s="5" t="s">
        <v>126</v>
      </c>
      <c r="BE153" s="5" t="s">
        <v>65</v>
      </c>
      <c r="BF153" s="5">
        <v>0.19066286528866713</v>
      </c>
      <c r="BG153" s="5" t="s">
        <v>69</v>
      </c>
      <c r="BH153" s="5">
        <v>0.5659301496792587</v>
      </c>
      <c r="BI153" s="5">
        <v>9.3226122594440479</v>
      </c>
      <c r="BJ153" s="5">
        <v>2.622950819672131</v>
      </c>
      <c r="BK153" s="5" t="s">
        <v>71</v>
      </c>
      <c r="BL153" s="5">
        <v>10.786172487526729</v>
      </c>
      <c r="BM153" s="5">
        <v>0.37630969351389876</v>
      </c>
      <c r="BN153" s="5">
        <v>550</v>
      </c>
      <c r="BO153" s="5" t="s">
        <v>395</v>
      </c>
      <c r="BP153" s="5" t="s">
        <v>395</v>
      </c>
      <c r="BQ153" s="5" t="s">
        <v>395</v>
      </c>
      <c r="BR153" s="5" t="s">
        <v>395</v>
      </c>
      <c r="BS153" s="5" t="s">
        <v>395</v>
      </c>
      <c r="BT153" s="5" t="s">
        <v>395</v>
      </c>
      <c r="BU153" s="5" t="s">
        <v>395</v>
      </c>
      <c r="BV153" s="5" t="s">
        <v>395</v>
      </c>
      <c r="BW153" s="5" t="s">
        <v>395</v>
      </c>
      <c r="BX153" s="5" t="s">
        <v>395</v>
      </c>
      <c r="BY153" s="5" t="s">
        <v>395</v>
      </c>
      <c r="BZ153" s="5" t="s">
        <v>395</v>
      </c>
      <c r="CA153" s="5" t="s">
        <v>395</v>
      </c>
      <c r="CB153" s="5" t="s">
        <v>395</v>
      </c>
      <c r="CC153" s="5" t="s">
        <v>395</v>
      </c>
      <c r="CD153" s="5" t="s">
        <v>395</v>
      </c>
      <c r="CE153" s="5" t="s">
        <v>395</v>
      </c>
      <c r="CF153" s="5" t="s">
        <v>395</v>
      </c>
      <c r="CG153" s="5" t="s">
        <v>395</v>
      </c>
      <c r="CH153" s="5" t="s">
        <v>395</v>
      </c>
      <c r="CI153" s="5" t="s">
        <v>395</v>
      </c>
      <c r="CJ153" s="5" t="s">
        <v>395</v>
      </c>
      <c r="CK153" s="5" t="s">
        <v>395</v>
      </c>
      <c r="CL153" s="5" t="s">
        <v>395</v>
      </c>
      <c r="CM153" s="5" t="s">
        <v>395</v>
      </c>
      <c r="CN153" s="5" t="s">
        <v>395</v>
      </c>
      <c r="CO153" s="5" t="s">
        <v>395</v>
      </c>
      <c r="CP153" s="5" t="s">
        <v>395</v>
      </c>
      <c r="CQ153" s="5" t="s">
        <v>395</v>
      </c>
      <c r="CR153" s="5" t="s">
        <v>395</v>
      </c>
      <c r="CS153" s="5" t="s">
        <v>395</v>
      </c>
      <c r="CT153" s="5" t="s">
        <v>395</v>
      </c>
      <c r="CU153" s="5" t="s">
        <v>395</v>
      </c>
      <c r="CV153" s="5" t="s">
        <v>395</v>
      </c>
      <c r="CW153" s="5" t="s">
        <v>395</v>
      </c>
      <c r="CX153" s="5" t="s">
        <v>395</v>
      </c>
      <c r="CY153" s="252" t="s">
        <v>395</v>
      </c>
    </row>
    <row r="154" spans="1:103" x14ac:dyDescent="0.3">
      <c r="A154" s="98" t="s">
        <v>112</v>
      </c>
      <c r="B154" s="98" t="s">
        <v>24</v>
      </c>
      <c r="C154" s="132" t="s">
        <v>20</v>
      </c>
      <c r="D154" s="132"/>
      <c r="E154" s="98"/>
      <c r="F154" s="98"/>
      <c r="G154" s="245">
        <v>42628</v>
      </c>
      <c r="H154" s="1">
        <v>2016</v>
      </c>
      <c r="I154" s="75" t="s">
        <v>33</v>
      </c>
      <c r="J154" s="75">
        <v>10</v>
      </c>
      <c r="K154" s="155">
        <v>0.86699695121952303</v>
      </c>
      <c r="L154" s="5">
        <v>2.6028627668316702</v>
      </c>
      <c r="M154" s="5">
        <v>0.6131520940484938</v>
      </c>
      <c r="N154" s="5">
        <v>1.5917523879500368</v>
      </c>
      <c r="O154" s="5">
        <v>5.4773144746509921</v>
      </c>
      <c r="P154" s="5">
        <v>4.5570352681851576</v>
      </c>
      <c r="Q154" s="5">
        <v>9.7462750652746166</v>
      </c>
      <c r="R154" s="5">
        <v>8.2110250757482994</v>
      </c>
      <c r="S154" s="5">
        <v>2.4138501102130787</v>
      </c>
      <c r="T154" s="5">
        <v>32.610404476070677</v>
      </c>
      <c r="U154" s="5">
        <f t="shared" si="18"/>
        <v>161.78470505822128</v>
      </c>
      <c r="V154" s="5" t="s">
        <v>73</v>
      </c>
      <c r="W154" s="5">
        <v>0.13278378205448788</v>
      </c>
      <c r="X154" s="5">
        <v>4.4649858232545088E-2</v>
      </c>
      <c r="Y154" s="5">
        <v>3.7305364580716524E-2</v>
      </c>
      <c r="Z154" s="5" t="s">
        <v>73</v>
      </c>
      <c r="AA154" s="5" t="s">
        <v>74</v>
      </c>
      <c r="AB154" s="5">
        <v>1.6437676268378217E-2</v>
      </c>
      <c r="AC154" s="5" t="s">
        <v>65</v>
      </c>
      <c r="AD154" s="5">
        <v>0.23117668113612772</v>
      </c>
      <c r="AE154" s="5">
        <f t="shared" si="19"/>
        <v>0.23117668113612772</v>
      </c>
      <c r="AF154" s="5" t="s">
        <v>65</v>
      </c>
      <c r="AG154" s="250" t="s">
        <v>395</v>
      </c>
      <c r="AH154" s="250">
        <v>3.9796431264136722</v>
      </c>
      <c r="AI154" s="5" t="s">
        <v>46</v>
      </c>
      <c r="AJ154" s="5" t="s">
        <v>69</v>
      </c>
      <c r="AK154" s="5" t="s">
        <v>56</v>
      </c>
      <c r="AL154" s="5" t="s">
        <v>65</v>
      </c>
      <c r="AM154" s="5" t="s">
        <v>65</v>
      </c>
      <c r="AN154" s="5">
        <v>0.34372120298232389</v>
      </c>
      <c r="AO154" s="5">
        <v>8.49459663231968E-2</v>
      </c>
      <c r="AP154" s="5" t="s">
        <v>71</v>
      </c>
      <c r="AQ154" s="5">
        <v>0.26958197201977047</v>
      </c>
      <c r="AR154" s="5">
        <v>5.6597134958532289E-2</v>
      </c>
      <c r="AS154" s="5" t="s">
        <v>395</v>
      </c>
      <c r="AT154" s="5" t="s">
        <v>395</v>
      </c>
      <c r="AU154" s="5" t="s">
        <v>395</v>
      </c>
      <c r="AV154" s="5" t="s">
        <v>395</v>
      </c>
      <c r="AW154" s="5" t="s">
        <v>395</v>
      </c>
      <c r="AX154" s="5" t="s">
        <v>395</v>
      </c>
      <c r="AY154" s="5" t="s">
        <v>395</v>
      </c>
      <c r="AZ154" s="5" t="s">
        <v>395</v>
      </c>
      <c r="BA154" s="5" t="s">
        <v>395</v>
      </c>
      <c r="BB154" s="5" t="s">
        <v>395</v>
      </c>
      <c r="BC154" s="5">
        <v>58.777171969967824</v>
      </c>
      <c r="BD154" s="5" t="s">
        <v>126</v>
      </c>
      <c r="BE154" s="5" t="s">
        <v>65</v>
      </c>
      <c r="BF154" s="5">
        <v>0.12477654629960672</v>
      </c>
      <c r="BG154" s="5" t="s">
        <v>69</v>
      </c>
      <c r="BH154" s="5">
        <v>0.31212012870933137</v>
      </c>
      <c r="BI154" s="5">
        <v>3.3640507686807295</v>
      </c>
      <c r="BJ154" s="5">
        <v>0.99928494815874136</v>
      </c>
      <c r="BK154" s="5" t="s">
        <v>71</v>
      </c>
      <c r="BL154" s="5">
        <v>3.1519485162674297</v>
      </c>
      <c r="BM154" s="5">
        <v>0.37573292813728992</v>
      </c>
      <c r="BN154" s="5">
        <v>180</v>
      </c>
      <c r="BO154" s="5" t="s">
        <v>395</v>
      </c>
      <c r="BP154" s="5" t="s">
        <v>395</v>
      </c>
      <c r="BQ154" s="5" t="s">
        <v>395</v>
      </c>
      <c r="BR154" s="5" t="s">
        <v>395</v>
      </c>
      <c r="BS154" s="5" t="s">
        <v>395</v>
      </c>
      <c r="BT154" s="5" t="s">
        <v>395</v>
      </c>
      <c r="BU154" s="5" t="s">
        <v>395</v>
      </c>
      <c r="BV154" s="5" t="s">
        <v>395</v>
      </c>
      <c r="BW154" s="5" t="s">
        <v>395</v>
      </c>
      <c r="BX154" s="5" t="s">
        <v>395</v>
      </c>
      <c r="BY154" s="5" t="s">
        <v>395</v>
      </c>
      <c r="BZ154" s="5" t="s">
        <v>395</v>
      </c>
      <c r="CA154" s="5" t="s">
        <v>395</v>
      </c>
      <c r="CB154" s="5" t="s">
        <v>395</v>
      </c>
      <c r="CC154" s="5" t="s">
        <v>395</v>
      </c>
      <c r="CD154" s="5" t="s">
        <v>395</v>
      </c>
      <c r="CE154" s="5" t="s">
        <v>395</v>
      </c>
      <c r="CF154" s="5" t="s">
        <v>395</v>
      </c>
      <c r="CG154" s="5" t="s">
        <v>395</v>
      </c>
      <c r="CH154" s="5" t="s">
        <v>395</v>
      </c>
      <c r="CI154" s="5" t="s">
        <v>395</v>
      </c>
      <c r="CJ154" s="5" t="s">
        <v>395</v>
      </c>
      <c r="CK154" s="5" t="s">
        <v>395</v>
      </c>
      <c r="CL154" s="5" t="s">
        <v>395</v>
      </c>
      <c r="CM154" s="5" t="s">
        <v>395</v>
      </c>
      <c r="CN154" s="5" t="s">
        <v>395</v>
      </c>
      <c r="CO154" s="5" t="s">
        <v>395</v>
      </c>
      <c r="CP154" s="5" t="s">
        <v>395</v>
      </c>
      <c r="CQ154" s="5" t="s">
        <v>395</v>
      </c>
      <c r="CR154" s="5" t="s">
        <v>395</v>
      </c>
      <c r="CS154" s="5" t="s">
        <v>395</v>
      </c>
      <c r="CT154" s="5" t="s">
        <v>395</v>
      </c>
      <c r="CU154" s="5" t="s">
        <v>395</v>
      </c>
      <c r="CV154" s="5" t="s">
        <v>395</v>
      </c>
      <c r="CW154" s="5" t="s">
        <v>395</v>
      </c>
      <c r="CX154" s="5" t="s">
        <v>395</v>
      </c>
      <c r="CY154" s="252" t="s">
        <v>395</v>
      </c>
    </row>
    <row r="155" spans="1:103" x14ac:dyDescent="0.3">
      <c r="A155" s="98" t="s">
        <v>5</v>
      </c>
      <c r="B155" s="98" t="s">
        <v>5</v>
      </c>
      <c r="C155" s="132" t="s">
        <v>20</v>
      </c>
      <c r="D155" s="132"/>
      <c r="E155" s="98"/>
      <c r="F155" s="98"/>
      <c r="G155" s="245">
        <v>42618</v>
      </c>
      <c r="H155" s="1">
        <v>2016</v>
      </c>
      <c r="I155" s="75" t="s">
        <v>33</v>
      </c>
      <c r="J155" s="75">
        <v>10</v>
      </c>
      <c r="K155" s="155">
        <v>0.87816695265973299</v>
      </c>
      <c r="L155" s="5">
        <v>3.8339464762316702</v>
      </c>
      <c r="M155" s="5">
        <v>0.41313978697332454</v>
      </c>
      <c r="N155" s="5">
        <v>1.2746724479215761</v>
      </c>
      <c r="O155" s="5">
        <v>4.0666415307757564</v>
      </c>
      <c r="P155" s="5">
        <v>3.5572516004659125</v>
      </c>
      <c r="Q155" s="5">
        <v>6.2800051138069506</v>
      </c>
      <c r="R155" s="5">
        <v>5.7288372456901753</v>
      </c>
      <c r="S155" s="5">
        <v>1.5359600339334529</v>
      </c>
      <c r="T155" s="5">
        <v>22.856507759567148</v>
      </c>
      <c r="U155" s="5">
        <f t="shared" si="18"/>
        <v>109.88375331506697</v>
      </c>
      <c r="V155" s="5" t="s">
        <v>59</v>
      </c>
      <c r="W155" s="5">
        <v>0.18480389189407989</v>
      </c>
      <c r="X155" s="5">
        <v>6.6627344567112487E-2</v>
      </c>
      <c r="Y155" s="5">
        <v>0.11688781725797104</v>
      </c>
      <c r="Z155" s="5" t="s">
        <v>59</v>
      </c>
      <c r="AA155" s="5">
        <v>3.6213314938798091E-2</v>
      </c>
      <c r="AB155" s="5">
        <v>6.7013963587811406E-2</v>
      </c>
      <c r="AC155" s="5" t="s">
        <v>65</v>
      </c>
      <c r="AD155" s="5">
        <v>0.47154633224577291</v>
      </c>
      <c r="AE155" s="5">
        <f t="shared" si="19"/>
        <v>0.47154633224577291</v>
      </c>
      <c r="AF155" s="5" t="s">
        <v>65</v>
      </c>
      <c r="AG155" s="250" t="s">
        <v>395</v>
      </c>
      <c r="AH155" s="250">
        <v>9.6906600844016246</v>
      </c>
      <c r="AI155" s="5" t="s">
        <v>46</v>
      </c>
      <c r="AJ155" s="5" t="s">
        <v>69</v>
      </c>
      <c r="AK155" s="5" t="s">
        <v>56</v>
      </c>
      <c r="AL155" s="5" t="s">
        <v>65</v>
      </c>
      <c r="AM155" s="5" t="s">
        <v>65</v>
      </c>
      <c r="AN155" s="5">
        <v>0.54168325503622894</v>
      </c>
      <c r="AO155" s="5">
        <v>0.25352336969503936</v>
      </c>
      <c r="AP155" s="5" t="s">
        <v>71</v>
      </c>
      <c r="AQ155" s="5">
        <v>0.35177960028664701</v>
      </c>
      <c r="AR155" s="5">
        <v>6.4941476232184089E-2</v>
      </c>
      <c r="AS155" s="5" t="s">
        <v>395</v>
      </c>
      <c r="AT155" s="5" t="s">
        <v>395</v>
      </c>
      <c r="AU155" s="5" t="s">
        <v>395</v>
      </c>
      <c r="AV155" s="5" t="s">
        <v>395</v>
      </c>
      <c r="AW155" s="5" t="s">
        <v>395</v>
      </c>
      <c r="AX155" s="5" t="s">
        <v>395</v>
      </c>
      <c r="AY155" s="5" t="s">
        <v>395</v>
      </c>
      <c r="AZ155" s="5" t="s">
        <v>395</v>
      </c>
      <c r="BA155" s="5" t="s">
        <v>395</v>
      </c>
      <c r="BB155" s="5" t="s">
        <v>395</v>
      </c>
      <c r="BC155" s="5">
        <v>130</v>
      </c>
      <c r="BD155" s="5" t="s">
        <v>126</v>
      </c>
      <c r="BE155" s="5" t="s">
        <v>65</v>
      </c>
      <c r="BF155" s="5">
        <v>0.51915740587162051</v>
      </c>
      <c r="BG155" s="5" t="s">
        <v>69</v>
      </c>
      <c r="BH155" s="5">
        <v>0.48034499917067514</v>
      </c>
      <c r="BI155" s="5">
        <v>6.106899983413502</v>
      </c>
      <c r="BJ155" s="5">
        <v>3.9011444684027201</v>
      </c>
      <c r="BK155" s="5" t="s">
        <v>71</v>
      </c>
      <c r="BL155" s="5">
        <v>5.5783712058384474</v>
      </c>
      <c r="BM155" s="5">
        <v>0.43819041300381489</v>
      </c>
      <c r="BN155" s="5">
        <v>79</v>
      </c>
      <c r="BO155" s="5" t="s">
        <v>395</v>
      </c>
      <c r="BP155" s="5" t="s">
        <v>395</v>
      </c>
      <c r="BQ155" s="5" t="s">
        <v>395</v>
      </c>
      <c r="BR155" s="5" t="s">
        <v>395</v>
      </c>
      <c r="BS155" s="5" t="s">
        <v>395</v>
      </c>
      <c r="BT155" s="5" t="s">
        <v>395</v>
      </c>
      <c r="BU155" s="5" t="s">
        <v>395</v>
      </c>
      <c r="BV155" s="5" t="s">
        <v>395</v>
      </c>
      <c r="BW155" s="5" t="s">
        <v>395</v>
      </c>
      <c r="BX155" s="5" t="s">
        <v>395</v>
      </c>
      <c r="BY155" s="5" t="s">
        <v>395</v>
      </c>
      <c r="BZ155" s="5" t="s">
        <v>395</v>
      </c>
      <c r="CA155" s="5" t="s">
        <v>395</v>
      </c>
      <c r="CB155" s="5" t="s">
        <v>395</v>
      </c>
      <c r="CC155" s="5" t="s">
        <v>395</v>
      </c>
      <c r="CD155" s="5" t="s">
        <v>395</v>
      </c>
      <c r="CE155" s="5" t="s">
        <v>395</v>
      </c>
      <c r="CF155" s="5" t="s">
        <v>395</v>
      </c>
      <c r="CG155" s="5" t="s">
        <v>395</v>
      </c>
      <c r="CH155" s="5" t="s">
        <v>395</v>
      </c>
      <c r="CI155" s="5" t="s">
        <v>395</v>
      </c>
      <c r="CJ155" s="5" t="s">
        <v>395</v>
      </c>
      <c r="CK155" s="5" t="s">
        <v>395</v>
      </c>
      <c r="CL155" s="5" t="s">
        <v>395</v>
      </c>
      <c r="CM155" s="5" t="s">
        <v>395</v>
      </c>
      <c r="CN155" s="5" t="s">
        <v>395</v>
      </c>
      <c r="CO155" s="5" t="s">
        <v>395</v>
      </c>
      <c r="CP155" s="5" t="s">
        <v>395</v>
      </c>
      <c r="CQ155" s="5" t="s">
        <v>395</v>
      </c>
      <c r="CR155" s="5" t="s">
        <v>395</v>
      </c>
      <c r="CS155" s="5" t="s">
        <v>395</v>
      </c>
      <c r="CT155" s="5" t="s">
        <v>395</v>
      </c>
      <c r="CU155" s="5" t="s">
        <v>395</v>
      </c>
      <c r="CV155" s="5" t="s">
        <v>395</v>
      </c>
      <c r="CW155" s="5" t="s">
        <v>395</v>
      </c>
      <c r="CX155" s="5" t="s">
        <v>395</v>
      </c>
      <c r="CY155" s="252" t="s">
        <v>395</v>
      </c>
    </row>
    <row r="156" spans="1:103" x14ac:dyDescent="0.3">
      <c r="A156" s="98" t="s">
        <v>25</v>
      </c>
      <c r="B156" s="98" t="s">
        <v>25</v>
      </c>
      <c r="C156" s="132" t="s">
        <v>20</v>
      </c>
      <c r="D156" s="132"/>
      <c r="E156" s="98"/>
      <c r="F156" s="98"/>
      <c r="G156" s="245">
        <v>42614</v>
      </c>
      <c r="H156" s="1">
        <v>2016</v>
      </c>
      <c r="I156" s="75" t="s">
        <v>33</v>
      </c>
      <c r="J156" s="75">
        <v>10</v>
      </c>
      <c r="K156" s="155">
        <v>0.78</v>
      </c>
      <c r="L156" s="5">
        <v>3.4751201893744899</v>
      </c>
      <c r="M156" s="5" t="s">
        <v>62</v>
      </c>
      <c r="N156" s="5">
        <v>9.2588990468780386E-2</v>
      </c>
      <c r="O156" s="5">
        <v>0.60153666601828437</v>
      </c>
      <c r="P156" s="5">
        <v>0.48599494261816767</v>
      </c>
      <c r="Q156" s="5">
        <v>2.1393697724178176</v>
      </c>
      <c r="R156" s="5">
        <v>1.6382999416455941</v>
      </c>
      <c r="S156" s="5">
        <v>1.0202295273293134</v>
      </c>
      <c r="T156" s="5">
        <v>5.9780198404979572</v>
      </c>
      <c r="U156" s="5">
        <f t="shared" si="18"/>
        <v>35.205287806921724</v>
      </c>
      <c r="V156" s="5" t="s">
        <v>59</v>
      </c>
      <c r="W156" s="5">
        <v>0.10290584877190584</v>
      </c>
      <c r="X156" s="5">
        <v>3.6896214685725341E-2</v>
      </c>
      <c r="Y156" s="5" t="s">
        <v>62</v>
      </c>
      <c r="Z156" s="5" t="s">
        <v>59</v>
      </c>
      <c r="AA156" s="5">
        <v>3.2284187850009673E-2</v>
      </c>
      <c r="AB156" s="5">
        <v>3.0842929463848527E-2</v>
      </c>
      <c r="AC156" s="5" t="s">
        <v>65</v>
      </c>
      <c r="AD156" s="5">
        <v>0.20292918077148939</v>
      </c>
      <c r="AE156" s="5">
        <f t="shared" si="19"/>
        <v>0.20292918077148939</v>
      </c>
      <c r="AF156" s="5" t="s">
        <v>65</v>
      </c>
      <c r="AG156" s="250" t="s">
        <v>395</v>
      </c>
      <c r="AH156" s="250">
        <v>25.741143317230275</v>
      </c>
      <c r="AI156" s="5" t="s">
        <v>46</v>
      </c>
      <c r="AJ156" s="5" t="s">
        <v>69</v>
      </c>
      <c r="AK156" s="5" t="s">
        <v>56</v>
      </c>
      <c r="AL156" s="5" t="s">
        <v>65</v>
      </c>
      <c r="AM156" s="5" t="s">
        <v>65</v>
      </c>
      <c r="AN156" s="5">
        <v>1.0735104669887281</v>
      </c>
      <c r="AO156" s="5">
        <v>0.62431561996779394</v>
      </c>
      <c r="AP156" s="5" t="s">
        <v>71</v>
      </c>
      <c r="AQ156" s="5">
        <v>0.65442834138486305</v>
      </c>
      <c r="AR156" s="5" t="s">
        <v>71</v>
      </c>
      <c r="AS156" s="5" t="s">
        <v>395</v>
      </c>
      <c r="AT156" s="5" t="s">
        <v>395</v>
      </c>
      <c r="AU156" s="5" t="s">
        <v>395</v>
      </c>
      <c r="AV156" s="5" t="s">
        <v>395</v>
      </c>
      <c r="AW156" s="5" t="s">
        <v>395</v>
      </c>
      <c r="AX156" s="5" t="s">
        <v>395</v>
      </c>
      <c r="AY156" s="5" t="s">
        <v>395</v>
      </c>
      <c r="AZ156" s="5" t="s">
        <v>395</v>
      </c>
      <c r="BA156" s="5" t="s">
        <v>395</v>
      </c>
      <c r="BB156" s="5" t="s">
        <v>395</v>
      </c>
      <c r="BC156" s="5">
        <v>400.44162249705528</v>
      </c>
      <c r="BD156" s="5" t="s">
        <v>126</v>
      </c>
      <c r="BE156" s="5" t="s">
        <v>65</v>
      </c>
      <c r="BF156" s="5">
        <v>0.31654888103651352</v>
      </c>
      <c r="BG156" s="5" t="s">
        <v>69</v>
      </c>
      <c r="BH156" s="5">
        <v>0.49705535924617195</v>
      </c>
      <c r="BI156" s="5">
        <v>11.383760306242637</v>
      </c>
      <c r="BJ156" s="5">
        <v>6.4958775029446416</v>
      </c>
      <c r="BK156" s="5" t="s">
        <v>71</v>
      </c>
      <c r="BL156" s="5">
        <v>6.159010600706714</v>
      </c>
      <c r="BM156" s="5">
        <v>0.17400618374558302</v>
      </c>
      <c r="BN156" s="5">
        <v>140</v>
      </c>
      <c r="BO156" s="5" t="s">
        <v>395</v>
      </c>
      <c r="BP156" s="5" t="s">
        <v>395</v>
      </c>
      <c r="BQ156" s="5" t="s">
        <v>395</v>
      </c>
      <c r="BR156" s="5" t="s">
        <v>395</v>
      </c>
      <c r="BS156" s="5" t="s">
        <v>395</v>
      </c>
      <c r="BT156" s="5" t="s">
        <v>395</v>
      </c>
      <c r="BU156" s="5" t="s">
        <v>395</v>
      </c>
      <c r="BV156" s="5" t="s">
        <v>395</v>
      </c>
      <c r="BW156" s="5" t="s">
        <v>395</v>
      </c>
      <c r="BX156" s="5" t="s">
        <v>395</v>
      </c>
      <c r="BY156" s="5" t="s">
        <v>395</v>
      </c>
      <c r="BZ156" s="5" t="s">
        <v>395</v>
      </c>
      <c r="CA156" s="5" t="s">
        <v>395</v>
      </c>
      <c r="CB156" s="5" t="s">
        <v>395</v>
      </c>
      <c r="CC156" s="5" t="s">
        <v>395</v>
      </c>
      <c r="CD156" s="5" t="s">
        <v>395</v>
      </c>
      <c r="CE156" s="5" t="s">
        <v>395</v>
      </c>
      <c r="CF156" s="5" t="s">
        <v>395</v>
      </c>
      <c r="CG156" s="5" t="s">
        <v>395</v>
      </c>
      <c r="CH156" s="5" t="s">
        <v>395</v>
      </c>
      <c r="CI156" s="5" t="s">
        <v>395</v>
      </c>
      <c r="CJ156" s="5" t="s">
        <v>395</v>
      </c>
      <c r="CK156" s="5" t="s">
        <v>395</v>
      </c>
      <c r="CL156" s="5" t="s">
        <v>395</v>
      </c>
      <c r="CM156" s="5" t="s">
        <v>395</v>
      </c>
      <c r="CN156" s="5" t="s">
        <v>395</v>
      </c>
      <c r="CO156" s="5" t="s">
        <v>395</v>
      </c>
      <c r="CP156" s="5" t="s">
        <v>395</v>
      </c>
      <c r="CQ156" s="5" t="s">
        <v>395</v>
      </c>
      <c r="CR156" s="5" t="s">
        <v>395</v>
      </c>
      <c r="CS156" s="5" t="s">
        <v>395</v>
      </c>
      <c r="CT156" s="5" t="s">
        <v>395</v>
      </c>
      <c r="CU156" s="5" t="s">
        <v>395</v>
      </c>
      <c r="CV156" s="5" t="s">
        <v>395</v>
      </c>
      <c r="CW156" s="5" t="s">
        <v>395</v>
      </c>
      <c r="CX156" s="5" t="s">
        <v>395</v>
      </c>
      <c r="CY156" s="252" t="s">
        <v>395</v>
      </c>
    </row>
    <row r="157" spans="1:103" x14ac:dyDescent="0.3">
      <c r="A157" s="98" t="s">
        <v>26</v>
      </c>
      <c r="B157" s="98" t="s">
        <v>26</v>
      </c>
      <c r="C157" s="132" t="s">
        <v>20</v>
      </c>
      <c r="D157" s="132"/>
      <c r="E157" s="98"/>
      <c r="F157" s="98"/>
      <c r="G157" s="245">
        <v>42578</v>
      </c>
      <c r="H157" s="1">
        <v>2016</v>
      </c>
      <c r="I157" s="75" t="s">
        <v>33</v>
      </c>
      <c r="J157" s="75">
        <v>10</v>
      </c>
      <c r="K157" s="155">
        <v>0.72761784245490901</v>
      </c>
      <c r="L157" s="5">
        <v>4.60380932337159</v>
      </c>
      <c r="M157" s="5" t="s">
        <v>62</v>
      </c>
      <c r="N157" s="5">
        <v>6.9868073878627979E-2</v>
      </c>
      <c r="O157" s="5">
        <v>0.17878627968337732</v>
      </c>
      <c r="P157" s="5">
        <v>0.13646437994722954</v>
      </c>
      <c r="Q157" s="5">
        <v>0.36928759894459107</v>
      </c>
      <c r="R157" s="5">
        <v>0.32147757255936676</v>
      </c>
      <c r="S157" s="5">
        <v>0.27313984168865435</v>
      </c>
      <c r="T157" s="5">
        <v>1.3490237467018471</v>
      </c>
      <c r="U157" s="5">
        <f t="shared" si="18"/>
        <v>8.3323916485030427</v>
      </c>
      <c r="V157" s="5" t="s">
        <v>59</v>
      </c>
      <c r="W157" s="5" t="s">
        <v>72</v>
      </c>
      <c r="X157" s="5" t="s">
        <v>72</v>
      </c>
      <c r="Y157" s="5" t="s">
        <v>62</v>
      </c>
      <c r="Z157" s="5">
        <v>1.6173615936354916E-2</v>
      </c>
      <c r="AA157" s="5" t="s">
        <v>56</v>
      </c>
      <c r="AB157" s="5">
        <v>5.5213378541349549E-2</v>
      </c>
      <c r="AC157" s="5" t="s">
        <v>65</v>
      </c>
      <c r="AD157" s="5">
        <v>7.1386994477704468E-2</v>
      </c>
      <c r="AE157" s="5">
        <f t="shared" si="19"/>
        <v>5.5213378541349549E-2</v>
      </c>
      <c r="AF157" s="5" t="s">
        <v>65</v>
      </c>
      <c r="AG157" s="250" t="s">
        <v>395</v>
      </c>
      <c r="AH157" s="250">
        <v>1.7408253268231217</v>
      </c>
      <c r="AI157" s="5" t="s">
        <v>46</v>
      </c>
      <c r="AJ157" s="5" t="s">
        <v>69</v>
      </c>
      <c r="AK157" s="5" t="s">
        <v>56</v>
      </c>
      <c r="AL157" s="5" t="s">
        <v>65</v>
      </c>
      <c r="AM157" s="5" t="s">
        <v>65</v>
      </c>
      <c r="AN157" s="5">
        <v>0.18451724681052134</v>
      </c>
      <c r="AO157" s="5" t="s">
        <v>56</v>
      </c>
      <c r="AP157" s="5" t="s">
        <v>71</v>
      </c>
      <c r="AQ157" s="5" t="s">
        <v>65</v>
      </c>
      <c r="AR157" s="5" t="s">
        <v>71</v>
      </c>
      <c r="AS157" s="5" t="s">
        <v>395</v>
      </c>
      <c r="AT157" s="5" t="s">
        <v>395</v>
      </c>
      <c r="AU157" s="5" t="s">
        <v>395</v>
      </c>
      <c r="AV157" s="5" t="s">
        <v>395</v>
      </c>
      <c r="AW157" s="5" t="s">
        <v>395</v>
      </c>
      <c r="AX157" s="5" t="s">
        <v>395</v>
      </c>
      <c r="AY157" s="5" t="s">
        <v>395</v>
      </c>
      <c r="AZ157" s="5" t="s">
        <v>395</v>
      </c>
      <c r="BA157" s="5" t="s">
        <v>395</v>
      </c>
      <c r="BB157" s="5" t="s">
        <v>395</v>
      </c>
      <c r="BC157" s="5">
        <v>48.426714871995301</v>
      </c>
      <c r="BD157" s="5" t="s">
        <v>126</v>
      </c>
      <c r="BE157" s="5" t="s">
        <v>65</v>
      </c>
      <c r="BF157" s="5">
        <v>0.12702755520812975</v>
      </c>
      <c r="BG157" s="5" t="s">
        <v>69</v>
      </c>
      <c r="BH157" s="5">
        <v>0.24545632206370915</v>
      </c>
      <c r="BI157" s="5">
        <v>2.1923978893883129</v>
      </c>
      <c r="BJ157" s="5" t="s">
        <v>46</v>
      </c>
      <c r="BK157" s="5" t="s">
        <v>71</v>
      </c>
      <c r="BL157" s="5">
        <v>1.6712917725229623</v>
      </c>
      <c r="BM157" s="5">
        <v>5.7621653312487787E-2</v>
      </c>
      <c r="BN157" s="5">
        <v>46</v>
      </c>
      <c r="BO157" s="5" t="s">
        <v>395</v>
      </c>
      <c r="BP157" s="5" t="s">
        <v>395</v>
      </c>
      <c r="BQ157" s="5" t="s">
        <v>395</v>
      </c>
      <c r="BR157" s="5" t="s">
        <v>395</v>
      </c>
      <c r="BS157" s="5" t="s">
        <v>395</v>
      </c>
      <c r="BT157" s="5" t="s">
        <v>395</v>
      </c>
      <c r="BU157" s="5" t="s">
        <v>395</v>
      </c>
      <c r="BV157" s="5" t="s">
        <v>395</v>
      </c>
      <c r="BW157" s="5" t="s">
        <v>395</v>
      </c>
      <c r="BX157" s="5" t="s">
        <v>395</v>
      </c>
      <c r="BY157" s="5" t="s">
        <v>395</v>
      </c>
      <c r="BZ157" s="5" t="s">
        <v>395</v>
      </c>
      <c r="CA157" s="5" t="s">
        <v>395</v>
      </c>
      <c r="CB157" s="5" t="s">
        <v>395</v>
      </c>
      <c r="CC157" s="5" t="s">
        <v>395</v>
      </c>
      <c r="CD157" s="5" t="s">
        <v>395</v>
      </c>
      <c r="CE157" s="5" t="s">
        <v>395</v>
      </c>
      <c r="CF157" s="5" t="s">
        <v>395</v>
      </c>
      <c r="CG157" s="5" t="s">
        <v>395</v>
      </c>
      <c r="CH157" s="5" t="s">
        <v>395</v>
      </c>
      <c r="CI157" s="5" t="s">
        <v>395</v>
      </c>
      <c r="CJ157" s="5" t="s">
        <v>395</v>
      </c>
      <c r="CK157" s="5" t="s">
        <v>395</v>
      </c>
      <c r="CL157" s="5" t="s">
        <v>395</v>
      </c>
      <c r="CM157" s="5" t="s">
        <v>395</v>
      </c>
      <c r="CN157" s="5" t="s">
        <v>395</v>
      </c>
      <c r="CO157" s="5" t="s">
        <v>395</v>
      </c>
      <c r="CP157" s="5" t="s">
        <v>395</v>
      </c>
      <c r="CQ157" s="5" t="s">
        <v>395</v>
      </c>
      <c r="CR157" s="5" t="s">
        <v>395</v>
      </c>
      <c r="CS157" s="5" t="s">
        <v>395</v>
      </c>
      <c r="CT157" s="5" t="s">
        <v>395</v>
      </c>
      <c r="CU157" s="5" t="s">
        <v>395</v>
      </c>
      <c r="CV157" s="5" t="s">
        <v>395</v>
      </c>
      <c r="CW157" s="5" t="s">
        <v>395</v>
      </c>
      <c r="CX157" s="5" t="s">
        <v>395</v>
      </c>
      <c r="CY157" s="252" t="s">
        <v>395</v>
      </c>
    </row>
    <row r="158" spans="1:103" x14ac:dyDescent="0.3">
      <c r="A158" s="98" t="s">
        <v>81</v>
      </c>
      <c r="B158" s="98" t="s">
        <v>81</v>
      </c>
      <c r="C158" s="132" t="s">
        <v>20</v>
      </c>
      <c r="D158" s="132"/>
      <c r="E158" s="98"/>
      <c r="F158" s="98"/>
      <c r="G158" s="245">
        <v>42577</v>
      </c>
      <c r="H158" s="1">
        <v>2016</v>
      </c>
      <c r="I158" s="75" t="s">
        <v>33</v>
      </c>
      <c r="J158" s="75">
        <v>10</v>
      </c>
      <c r="K158" s="155">
        <v>0.75</v>
      </c>
      <c r="L158" s="5">
        <v>3.0173202973378701</v>
      </c>
      <c r="M158" s="5">
        <v>7.0046631610278784E-2</v>
      </c>
      <c r="N158" s="5">
        <v>0.2133148129774779</v>
      </c>
      <c r="O158" s="5">
        <v>0.96090882031947611</v>
      </c>
      <c r="P158" s="5">
        <v>0.5939081258061315</v>
      </c>
      <c r="Q158" s="5">
        <v>2.0702450639944439</v>
      </c>
      <c r="R158" s="5">
        <v>1.6700069451334458</v>
      </c>
      <c r="S158" s="5">
        <v>0.89641829546581997</v>
      </c>
      <c r="T158" s="5">
        <v>6.4748486953070739</v>
      </c>
      <c r="U158" s="5">
        <f t="shared" si="18"/>
        <v>39.206270463339621</v>
      </c>
      <c r="V158" s="5" t="s">
        <v>59</v>
      </c>
      <c r="W158" s="5">
        <v>0.2919158603780575</v>
      </c>
      <c r="X158" s="5">
        <v>6.7986226580042497E-2</v>
      </c>
      <c r="Y158" s="5">
        <v>0.17081539428235679</v>
      </c>
      <c r="Z158" s="5">
        <v>3.3993113290021248E-2</v>
      </c>
      <c r="AA158" s="5">
        <v>6.4303639306956872E-2</v>
      </c>
      <c r="AB158" s="5">
        <v>6.968588224454357E-2</v>
      </c>
      <c r="AC158" s="5" t="s">
        <v>65</v>
      </c>
      <c r="AD158" s="5">
        <v>0.69870011608197846</v>
      </c>
      <c r="AE158" s="5">
        <f t="shared" si="19"/>
        <v>0.66470700279195727</v>
      </c>
      <c r="AF158" s="5">
        <v>0.18</v>
      </c>
      <c r="AG158" s="250">
        <f>(AF158/K158)*5</f>
        <v>1.2</v>
      </c>
      <c r="AH158" s="250">
        <v>7.4743157399419662</v>
      </c>
      <c r="AI158" s="5" t="s">
        <v>46</v>
      </c>
      <c r="AJ158" s="5" t="s">
        <v>69</v>
      </c>
      <c r="AK158" s="5" t="s">
        <v>56</v>
      </c>
      <c r="AL158" s="5" t="s">
        <v>65</v>
      </c>
      <c r="AM158" s="5" t="s">
        <v>65</v>
      </c>
      <c r="AN158" s="5">
        <v>1.2260214885107052</v>
      </c>
      <c r="AO158" s="5">
        <v>1.461375578386009</v>
      </c>
      <c r="AP158" s="5" t="s">
        <v>71</v>
      </c>
      <c r="AQ158" s="5">
        <v>1.0828954591796722</v>
      </c>
      <c r="AR158" s="5">
        <v>0.42683711081483816</v>
      </c>
      <c r="AS158" s="5" t="s">
        <v>395</v>
      </c>
      <c r="AT158" s="5" t="s">
        <v>395</v>
      </c>
      <c r="AU158" s="5" t="s">
        <v>395</v>
      </c>
      <c r="AV158" s="5" t="s">
        <v>395</v>
      </c>
      <c r="AW158" s="5" t="s">
        <v>395</v>
      </c>
      <c r="AX158" s="5" t="s">
        <v>395</v>
      </c>
      <c r="AY158" s="5" t="s">
        <v>395</v>
      </c>
      <c r="AZ158" s="5" t="s">
        <v>395</v>
      </c>
      <c r="BA158" s="5" t="s">
        <v>395</v>
      </c>
      <c r="BB158" s="5" t="s">
        <v>395</v>
      </c>
      <c r="BC158" s="5">
        <v>150.10377714825307</v>
      </c>
      <c r="BD158" s="5" t="s">
        <v>126</v>
      </c>
      <c r="BE158" s="5" t="s">
        <v>65</v>
      </c>
      <c r="BF158" s="5">
        <v>0.19641170915958453</v>
      </c>
      <c r="BG158" s="5" t="s">
        <v>69</v>
      </c>
      <c r="BH158" s="5">
        <v>0.67724268177525981</v>
      </c>
      <c r="BI158" s="5">
        <v>25.839187913125588</v>
      </c>
      <c r="BJ158" s="5">
        <v>22.04343720491029</v>
      </c>
      <c r="BK158" s="5" t="s">
        <v>71</v>
      </c>
      <c r="BL158" s="5">
        <v>23.367705382436263</v>
      </c>
      <c r="BM158" s="5">
        <v>4.7727762039660053</v>
      </c>
      <c r="BN158" s="5">
        <v>26</v>
      </c>
      <c r="BO158" s="5" t="s">
        <v>395</v>
      </c>
      <c r="BP158" s="5" t="s">
        <v>395</v>
      </c>
      <c r="BQ158" s="5" t="s">
        <v>395</v>
      </c>
      <c r="BR158" s="5" t="s">
        <v>395</v>
      </c>
      <c r="BS158" s="5" t="s">
        <v>395</v>
      </c>
      <c r="BT158" s="5" t="s">
        <v>395</v>
      </c>
      <c r="BU158" s="5" t="s">
        <v>395</v>
      </c>
      <c r="BV158" s="5" t="s">
        <v>395</v>
      </c>
      <c r="BW158" s="5" t="s">
        <v>395</v>
      </c>
      <c r="BX158" s="5" t="s">
        <v>395</v>
      </c>
      <c r="BY158" s="5" t="s">
        <v>395</v>
      </c>
      <c r="BZ158" s="5" t="s">
        <v>395</v>
      </c>
      <c r="CA158" s="5" t="s">
        <v>395</v>
      </c>
      <c r="CB158" s="5" t="s">
        <v>395</v>
      </c>
      <c r="CC158" s="5" t="s">
        <v>395</v>
      </c>
      <c r="CD158" s="5" t="s">
        <v>395</v>
      </c>
      <c r="CE158" s="5" t="s">
        <v>395</v>
      </c>
      <c r="CF158" s="5" t="s">
        <v>395</v>
      </c>
      <c r="CG158" s="5" t="s">
        <v>395</v>
      </c>
      <c r="CH158" s="5" t="s">
        <v>395</v>
      </c>
      <c r="CI158" s="5" t="s">
        <v>395</v>
      </c>
      <c r="CJ158" s="5" t="s">
        <v>395</v>
      </c>
      <c r="CK158" s="5" t="s">
        <v>395</v>
      </c>
      <c r="CL158" s="5" t="s">
        <v>395</v>
      </c>
      <c r="CM158" s="5" t="s">
        <v>395</v>
      </c>
      <c r="CN158" s="5" t="s">
        <v>395</v>
      </c>
      <c r="CO158" s="5" t="s">
        <v>395</v>
      </c>
      <c r="CP158" s="5" t="s">
        <v>395</v>
      </c>
      <c r="CQ158" s="5" t="s">
        <v>395</v>
      </c>
      <c r="CR158" s="5" t="s">
        <v>395</v>
      </c>
      <c r="CS158" s="5" t="s">
        <v>395</v>
      </c>
      <c r="CT158" s="5" t="s">
        <v>395</v>
      </c>
      <c r="CU158" s="5" t="s">
        <v>395</v>
      </c>
      <c r="CV158" s="5" t="s">
        <v>395</v>
      </c>
      <c r="CW158" s="5" t="s">
        <v>395</v>
      </c>
      <c r="CX158" s="5" t="s">
        <v>395</v>
      </c>
      <c r="CY158" s="252" t="s">
        <v>395</v>
      </c>
    </row>
    <row r="159" spans="1:103" x14ac:dyDescent="0.3">
      <c r="A159" s="98" t="s">
        <v>6</v>
      </c>
      <c r="B159" s="98" t="s">
        <v>6</v>
      </c>
      <c r="C159" s="132" t="s">
        <v>20</v>
      </c>
      <c r="D159" s="132"/>
      <c r="E159" s="98"/>
      <c r="F159" s="98"/>
      <c r="G159" s="245">
        <v>42615</v>
      </c>
      <c r="H159" s="1">
        <v>2016</v>
      </c>
      <c r="I159" s="75" t="s">
        <v>33</v>
      </c>
      <c r="J159" s="75">
        <v>10</v>
      </c>
      <c r="K159" s="155">
        <v>0.80902916500199296</v>
      </c>
      <c r="L159" s="5">
        <v>3.4291477559253898</v>
      </c>
      <c r="M159" s="5">
        <v>4.0583136327817182E-2</v>
      </c>
      <c r="N159" s="5">
        <v>0.16430260047281325</v>
      </c>
      <c r="O159" s="5">
        <v>0.61485421591804579</v>
      </c>
      <c r="P159" s="5">
        <v>0.47488179669030733</v>
      </c>
      <c r="Q159" s="5">
        <v>1.4137115839243499</v>
      </c>
      <c r="R159" s="5">
        <v>1.1817375886524824</v>
      </c>
      <c r="S159" s="5">
        <v>0.67671394799054374</v>
      </c>
      <c r="T159" s="5">
        <v>4.5667848699763596</v>
      </c>
      <c r="U159" s="5">
        <f t="shared" si="18"/>
        <v>25.288971339345796</v>
      </c>
      <c r="V159" s="5" t="s">
        <v>59</v>
      </c>
      <c r="W159" s="5">
        <v>7.1661841444215363E-2</v>
      </c>
      <c r="X159" s="5">
        <v>1.758024384702165E-2</v>
      </c>
      <c r="Y159" s="5">
        <v>3.5905413280781506E-2</v>
      </c>
      <c r="Z159" s="5">
        <v>5.6316374357408334E-2</v>
      </c>
      <c r="AA159" s="5">
        <v>2.0708931311322114E-2</v>
      </c>
      <c r="AB159" s="5">
        <v>4.5142490556335249E-2</v>
      </c>
      <c r="AC159" s="5" t="s">
        <v>65</v>
      </c>
      <c r="AD159" s="5">
        <v>0.2473152947970842</v>
      </c>
      <c r="AE159" s="5">
        <f t="shared" si="19"/>
        <v>0.19099892043967587</v>
      </c>
      <c r="AF159" s="5" t="s">
        <v>65</v>
      </c>
      <c r="AG159" s="250" t="s">
        <v>395</v>
      </c>
      <c r="AH159" s="250">
        <v>1.1459341723136494</v>
      </c>
      <c r="AI159" s="5" t="s">
        <v>46</v>
      </c>
      <c r="AJ159" s="5" t="s">
        <v>69</v>
      </c>
      <c r="AK159" s="5" t="s">
        <v>56</v>
      </c>
      <c r="AL159" s="5" t="s">
        <v>65</v>
      </c>
      <c r="AM159" s="5" t="s">
        <v>65</v>
      </c>
      <c r="AN159" s="5">
        <v>0.17852533075185542</v>
      </c>
      <c r="AO159" s="5">
        <v>2.5653436592449178E-2</v>
      </c>
      <c r="AP159" s="5" t="s">
        <v>71</v>
      </c>
      <c r="AQ159" s="5" t="s">
        <v>65</v>
      </c>
      <c r="AR159" s="5" t="s">
        <v>71</v>
      </c>
      <c r="AS159" s="5" t="s">
        <v>395</v>
      </c>
      <c r="AT159" s="5" t="s">
        <v>395</v>
      </c>
      <c r="AU159" s="5" t="s">
        <v>395</v>
      </c>
      <c r="AV159" s="5" t="s">
        <v>395</v>
      </c>
      <c r="AW159" s="5" t="s">
        <v>395</v>
      </c>
      <c r="AX159" s="5" t="s">
        <v>395</v>
      </c>
      <c r="AY159" s="5" t="s">
        <v>395</v>
      </c>
      <c r="AZ159" s="5" t="s">
        <v>395</v>
      </c>
      <c r="BA159" s="5" t="s">
        <v>395</v>
      </c>
      <c r="BB159" s="5" t="s">
        <v>395</v>
      </c>
      <c r="BC159" s="5">
        <v>30.385279787391113</v>
      </c>
      <c r="BD159" s="5" t="s">
        <v>126</v>
      </c>
      <c r="BE159" s="5" t="s">
        <v>65</v>
      </c>
      <c r="BF159" s="5" t="s">
        <v>56</v>
      </c>
      <c r="BG159" s="5" t="s">
        <v>69</v>
      </c>
      <c r="BH159" s="5">
        <v>0.12933707367488556</v>
      </c>
      <c r="BI159" s="5">
        <v>2.3650524139967519</v>
      </c>
      <c r="BJ159" s="5">
        <v>0.80761848516167123</v>
      </c>
      <c r="BK159" s="5" t="s">
        <v>71</v>
      </c>
      <c r="BL159" s="5">
        <v>1.4516462424331906</v>
      </c>
      <c r="BM159" s="5">
        <v>6.8928096855160201E-2</v>
      </c>
      <c r="BN159" s="5">
        <v>50</v>
      </c>
      <c r="BO159" s="5" t="s">
        <v>395</v>
      </c>
      <c r="BP159" s="5" t="s">
        <v>395</v>
      </c>
      <c r="BQ159" s="5" t="s">
        <v>395</v>
      </c>
      <c r="BR159" s="5" t="s">
        <v>395</v>
      </c>
      <c r="BS159" s="5" t="s">
        <v>395</v>
      </c>
      <c r="BT159" s="5" t="s">
        <v>395</v>
      </c>
      <c r="BU159" s="5" t="s">
        <v>395</v>
      </c>
      <c r="BV159" s="5" t="s">
        <v>395</v>
      </c>
      <c r="BW159" s="5" t="s">
        <v>395</v>
      </c>
      <c r="BX159" s="5" t="s">
        <v>395</v>
      </c>
      <c r="BY159" s="5" t="s">
        <v>395</v>
      </c>
      <c r="BZ159" s="5" t="s">
        <v>395</v>
      </c>
      <c r="CA159" s="5" t="s">
        <v>395</v>
      </c>
      <c r="CB159" s="5" t="s">
        <v>395</v>
      </c>
      <c r="CC159" s="5" t="s">
        <v>395</v>
      </c>
      <c r="CD159" s="5" t="s">
        <v>395</v>
      </c>
      <c r="CE159" s="5" t="s">
        <v>395</v>
      </c>
      <c r="CF159" s="5" t="s">
        <v>395</v>
      </c>
      <c r="CG159" s="5" t="s">
        <v>395</v>
      </c>
      <c r="CH159" s="5" t="s">
        <v>395</v>
      </c>
      <c r="CI159" s="5" t="s">
        <v>395</v>
      </c>
      <c r="CJ159" s="5" t="s">
        <v>395</v>
      </c>
      <c r="CK159" s="5" t="s">
        <v>395</v>
      </c>
      <c r="CL159" s="5" t="s">
        <v>395</v>
      </c>
      <c r="CM159" s="5" t="s">
        <v>395</v>
      </c>
      <c r="CN159" s="5" t="s">
        <v>395</v>
      </c>
      <c r="CO159" s="5" t="s">
        <v>395</v>
      </c>
      <c r="CP159" s="5" t="s">
        <v>395</v>
      </c>
      <c r="CQ159" s="5" t="s">
        <v>395</v>
      </c>
      <c r="CR159" s="5" t="s">
        <v>395</v>
      </c>
      <c r="CS159" s="5" t="s">
        <v>395</v>
      </c>
      <c r="CT159" s="5" t="s">
        <v>395</v>
      </c>
      <c r="CU159" s="5" t="s">
        <v>395</v>
      </c>
      <c r="CV159" s="5" t="s">
        <v>395</v>
      </c>
      <c r="CW159" s="5" t="s">
        <v>395</v>
      </c>
      <c r="CX159" s="5" t="s">
        <v>395</v>
      </c>
      <c r="CY159" s="252" t="s">
        <v>395</v>
      </c>
    </row>
    <row r="160" spans="1:103" x14ac:dyDescent="0.3">
      <c r="A160" s="98" t="s">
        <v>82</v>
      </c>
      <c r="B160" s="98" t="s">
        <v>82</v>
      </c>
      <c r="C160" s="132" t="s">
        <v>20</v>
      </c>
      <c r="D160" s="132"/>
      <c r="E160" s="98"/>
      <c r="F160" s="98"/>
      <c r="G160" s="245">
        <v>42627</v>
      </c>
      <c r="H160" s="1">
        <v>2016</v>
      </c>
      <c r="I160" s="75" t="s">
        <v>33</v>
      </c>
      <c r="J160" s="75">
        <v>10</v>
      </c>
      <c r="K160" s="155">
        <v>1.16434827408554</v>
      </c>
      <c r="L160" s="5">
        <v>3.5887980332424698</v>
      </c>
      <c r="M160" s="5">
        <v>0.12750635413724937</v>
      </c>
      <c r="N160" s="5">
        <v>1.3024569330697544</v>
      </c>
      <c r="O160" s="5">
        <v>4.3155888167184413</v>
      </c>
      <c r="P160" s="5">
        <v>1.5372776051962724</v>
      </c>
      <c r="Q160" s="5">
        <v>8.3256265781441847</v>
      </c>
      <c r="R160" s="5">
        <v>4.2278025499559302</v>
      </c>
      <c r="S160" s="5">
        <v>2.4538266026546176</v>
      </c>
      <c r="T160" s="5">
        <v>22.290085439876453</v>
      </c>
      <c r="U160" s="5">
        <f t="shared" si="18"/>
        <v>89.117699130782384</v>
      </c>
      <c r="V160" s="5" t="s">
        <v>74</v>
      </c>
      <c r="W160" s="5">
        <v>0.11567622206152006</v>
      </c>
      <c r="X160" s="5">
        <v>5.3375140145840466E-2</v>
      </c>
      <c r="Y160" s="5">
        <v>2.9917073636124961E-2</v>
      </c>
      <c r="Z160" s="5">
        <v>4.481203167653823E-2</v>
      </c>
      <c r="AA160" s="5" t="s">
        <v>75</v>
      </c>
      <c r="AB160" s="5">
        <v>3.6294050825534524E-2</v>
      </c>
      <c r="AC160" s="5" t="s">
        <v>69</v>
      </c>
      <c r="AD160" s="5">
        <v>0.28007451834555824</v>
      </c>
      <c r="AE160" s="5">
        <f t="shared" si="19"/>
        <v>0.23526248666902</v>
      </c>
      <c r="AF160" s="5" t="s">
        <v>65</v>
      </c>
      <c r="AG160" s="250" t="s">
        <v>395</v>
      </c>
      <c r="AH160" s="250">
        <v>3.5701480904130944</v>
      </c>
      <c r="AI160" s="5" t="s">
        <v>46</v>
      </c>
      <c r="AJ160" s="5" t="s">
        <v>69</v>
      </c>
      <c r="AK160" s="5" t="s">
        <v>56</v>
      </c>
      <c r="AL160" s="5" t="s">
        <v>65</v>
      </c>
      <c r="AM160" s="5" t="s">
        <v>65</v>
      </c>
      <c r="AN160" s="5">
        <v>0.25042868277474667</v>
      </c>
      <c r="AO160" s="5">
        <v>4.6297739672642252E-2</v>
      </c>
      <c r="AP160" s="5" t="s">
        <v>71</v>
      </c>
      <c r="AQ160" s="5">
        <v>0.22743569758378801</v>
      </c>
      <c r="AR160" s="5">
        <v>7.0038971161340613E-2</v>
      </c>
      <c r="AS160" s="5" t="s">
        <v>395</v>
      </c>
      <c r="AT160" s="5" t="s">
        <v>395</v>
      </c>
      <c r="AU160" s="5" t="s">
        <v>395</v>
      </c>
      <c r="AV160" s="5" t="s">
        <v>395</v>
      </c>
      <c r="AW160" s="5" t="s">
        <v>395</v>
      </c>
      <c r="AX160" s="5" t="s">
        <v>395</v>
      </c>
      <c r="AY160" s="5" t="s">
        <v>395</v>
      </c>
      <c r="AZ160" s="5" t="s">
        <v>395</v>
      </c>
      <c r="BA160" s="5" t="s">
        <v>395</v>
      </c>
      <c r="BB160" s="5" t="s">
        <v>395</v>
      </c>
      <c r="BC160" s="5">
        <v>59.335231516056758</v>
      </c>
      <c r="BD160" s="5" t="s">
        <v>126</v>
      </c>
      <c r="BE160" s="5" t="s">
        <v>65</v>
      </c>
      <c r="BF160" s="5">
        <v>5.7318894697535483E-2</v>
      </c>
      <c r="BG160" s="5" t="s">
        <v>69</v>
      </c>
      <c r="BH160" s="5">
        <v>0.26624346527259152</v>
      </c>
      <c r="BI160" s="5">
        <v>2.7853808812546679</v>
      </c>
      <c r="BJ160" s="5">
        <v>0.8644510828976848</v>
      </c>
      <c r="BK160" s="5" t="s">
        <v>71</v>
      </c>
      <c r="BL160" s="5">
        <v>2.9746079163554895</v>
      </c>
      <c r="BM160" s="5">
        <v>0.36255601194921583</v>
      </c>
      <c r="BN160" s="5">
        <v>210</v>
      </c>
      <c r="BO160" s="5" t="s">
        <v>395</v>
      </c>
      <c r="BP160" s="5" t="s">
        <v>395</v>
      </c>
      <c r="BQ160" s="5" t="s">
        <v>395</v>
      </c>
      <c r="BR160" s="5" t="s">
        <v>395</v>
      </c>
      <c r="BS160" s="5" t="s">
        <v>395</v>
      </c>
      <c r="BT160" s="5" t="s">
        <v>395</v>
      </c>
      <c r="BU160" s="5" t="s">
        <v>395</v>
      </c>
      <c r="BV160" s="5" t="s">
        <v>395</v>
      </c>
      <c r="BW160" s="5" t="s">
        <v>395</v>
      </c>
      <c r="BX160" s="5" t="s">
        <v>395</v>
      </c>
      <c r="BY160" s="5" t="s">
        <v>395</v>
      </c>
      <c r="BZ160" s="5" t="s">
        <v>395</v>
      </c>
      <c r="CA160" s="5" t="s">
        <v>395</v>
      </c>
      <c r="CB160" s="5" t="s">
        <v>395</v>
      </c>
      <c r="CC160" s="5" t="s">
        <v>395</v>
      </c>
      <c r="CD160" s="5" t="s">
        <v>395</v>
      </c>
      <c r="CE160" s="5" t="s">
        <v>395</v>
      </c>
      <c r="CF160" s="5" t="s">
        <v>395</v>
      </c>
      <c r="CG160" s="5" t="s">
        <v>395</v>
      </c>
      <c r="CH160" s="5" t="s">
        <v>395</v>
      </c>
      <c r="CI160" s="5" t="s">
        <v>395</v>
      </c>
      <c r="CJ160" s="5" t="s">
        <v>395</v>
      </c>
      <c r="CK160" s="5" t="s">
        <v>395</v>
      </c>
      <c r="CL160" s="5" t="s">
        <v>395</v>
      </c>
      <c r="CM160" s="5" t="s">
        <v>395</v>
      </c>
      <c r="CN160" s="5" t="s">
        <v>395</v>
      </c>
      <c r="CO160" s="5" t="s">
        <v>395</v>
      </c>
      <c r="CP160" s="5" t="s">
        <v>395</v>
      </c>
      <c r="CQ160" s="5" t="s">
        <v>395</v>
      </c>
      <c r="CR160" s="5" t="s">
        <v>395</v>
      </c>
      <c r="CS160" s="5" t="s">
        <v>395</v>
      </c>
      <c r="CT160" s="5" t="s">
        <v>395</v>
      </c>
      <c r="CU160" s="5" t="s">
        <v>395</v>
      </c>
      <c r="CV160" s="5" t="s">
        <v>395</v>
      </c>
      <c r="CW160" s="5" t="s">
        <v>395</v>
      </c>
      <c r="CX160" s="5" t="s">
        <v>395</v>
      </c>
      <c r="CY160" s="252" t="s">
        <v>395</v>
      </c>
    </row>
    <row r="161" spans="1:103" x14ac:dyDescent="0.3">
      <c r="A161" s="98" t="s">
        <v>27</v>
      </c>
      <c r="B161" s="98" t="s">
        <v>27</v>
      </c>
      <c r="C161" s="132" t="s">
        <v>20</v>
      </c>
      <c r="D161" s="132"/>
      <c r="E161" s="98"/>
      <c r="F161" s="98"/>
      <c r="G161" s="245">
        <v>42631</v>
      </c>
      <c r="H161" s="1">
        <v>2016</v>
      </c>
      <c r="I161" s="75" t="s">
        <v>33</v>
      </c>
      <c r="J161" s="75">
        <v>10</v>
      </c>
      <c r="K161" s="155">
        <v>0.85147661133865715</v>
      </c>
      <c r="L161" s="5">
        <v>3.35591784882488</v>
      </c>
      <c r="M161" s="5">
        <v>7.9529872673849172E-2</v>
      </c>
      <c r="N161" s="5">
        <v>0.23006856023506367</v>
      </c>
      <c r="O161" s="5">
        <v>0.392458374142997</v>
      </c>
      <c r="P161" s="5">
        <v>0.385896180215475</v>
      </c>
      <c r="Q161" s="5">
        <v>0.7269343780607247</v>
      </c>
      <c r="R161" s="5">
        <v>0.61704211557296762</v>
      </c>
      <c r="S161" s="5">
        <v>0.23643486777668951</v>
      </c>
      <c r="T161" s="5">
        <v>2.6683643486777666</v>
      </c>
      <c r="U161" s="5">
        <f t="shared" si="18"/>
        <v>13.402999789236064</v>
      </c>
      <c r="V161" s="5" t="s">
        <v>59</v>
      </c>
      <c r="W161" s="5">
        <v>3.7996350584967413E-2</v>
      </c>
      <c r="X161" s="5">
        <v>1.3057165149473337E-2</v>
      </c>
      <c r="Y161" s="5" t="s">
        <v>62</v>
      </c>
      <c r="Z161" s="5">
        <v>3.3687486085641212E-2</v>
      </c>
      <c r="AA161" s="5" t="s">
        <v>56</v>
      </c>
      <c r="AB161" s="5">
        <v>2.2066609102609942E-2</v>
      </c>
      <c r="AC161" s="5" t="s">
        <v>65</v>
      </c>
      <c r="AD161" s="5">
        <v>0.10680761092269189</v>
      </c>
      <c r="AE161" s="5">
        <f t="shared" si="19"/>
        <v>7.3120124837050687E-2</v>
      </c>
      <c r="AF161" s="5" t="s">
        <v>65</v>
      </c>
      <c r="AG161" s="250" t="s">
        <v>395</v>
      </c>
      <c r="AH161" s="250">
        <v>9.4225273852992526</v>
      </c>
      <c r="AI161" s="5" t="s">
        <v>46</v>
      </c>
      <c r="AJ161" s="5" t="s">
        <v>69</v>
      </c>
      <c r="AK161" s="5" t="s">
        <v>56</v>
      </c>
      <c r="AL161" s="5" t="s">
        <v>65</v>
      </c>
      <c r="AM161" s="5" t="s">
        <v>65</v>
      </c>
      <c r="AN161" s="5">
        <v>0.35426258136212097</v>
      </c>
      <c r="AO161" s="5">
        <v>5.1119225273853E-2</v>
      </c>
      <c r="AP161" s="5" t="s">
        <v>71</v>
      </c>
      <c r="AQ161" s="5">
        <v>0.25146848706143832</v>
      </c>
      <c r="AR161" s="5" t="s">
        <v>71</v>
      </c>
      <c r="AS161" s="5" t="s">
        <v>395</v>
      </c>
      <c r="AT161" s="5" t="s">
        <v>395</v>
      </c>
      <c r="AU161" s="5" t="s">
        <v>395</v>
      </c>
      <c r="AV161" s="5" t="s">
        <v>395</v>
      </c>
      <c r="AW161" s="5" t="s">
        <v>395</v>
      </c>
      <c r="AX161" s="5" t="s">
        <v>395</v>
      </c>
      <c r="AY161" s="5" t="s">
        <v>395</v>
      </c>
      <c r="AZ161" s="5" t="s">
        <v>395</v>
      </c>
      <c r="BA161" s="5" t="s">
        <v>395</v>
      </c>
      <c r="BB161" s="5" t="s">
        <v>395</v>
      </c>
      <c r="BC161" s="5">
        <v>150</v>
      </c>
      <c r="BD161" s="5" t="s">
        <v>126</v>
      </c>
      <c r="BE161" s="5" t="s">
        <v>65</v>
      </c>
      <c r="BF161" s="5">
        <v>4.5298165137614685E-2</v>
      </c>
      <c r="BG161" s="5" t="s">
        <v>69</v>
      </c>
      <c r="BH161" s="5">
        <v>0.67392966360856277</v>
      </c>
      <c r="BI161" s="5">
        <v>4.2466551987767591</v>
      </c>
      <c r="BJ161" s="5">
        <v>0.88685015290519875</v>
      </c>
      <c r="BK161" s="5" t="s">
        <v>71</v>
      </c>
      <c r="BL161" s="5">
        <v>3.6185015290519877</v>
      </c>
      <c r="BM161" s="5">
        <v>0.13299885321100918</v>
      </c>
      <c r="BN161" s="5">
        <v>67</v>
      </c>
      <c r="BO161" s="5" t="s">
        <v>395</v>
      </c>
      <c r="BP161" s="5" t="s">
        <v>395</v>
      </c>
      <c r="BQ161" s="5" t="s">
        <v>395</v>
      </c>
      <c r="BR161" s="5" t="s">
        <v>395</v>
      </c>
      <c r="BS161" s="5" t="s">
        <v>395</v>
      </c>
      <c r="BT161" s="5" t="s">
        <v>395</v>
      </c>
      <c r="BU161" s="5" t="s">
        <v>395</v>
      </c>
      <c r="BV161" s="5" t="s">
        <v>395</v>
      </c>
      <c r="BW161" s="5" t="s">
        <v>395</v>
      </c>
      <c r="BX161" s="5" t="s">
        <v>395</v>
      </c>
      <c r="BY161" s="5" t="s">
        <v>395</v>
      </c>
      <c r="BZ161" s="5" t="s">
        <v>395</v>
      </c>
      <c r="CA161" s="5" t="s">
        <v>395</v>
      </c>
      <c r="CB161" s="5" t="s">
        <v>395</v>
      </c>
      <c r="CC161" s="5" t="s">
        <v>395</v>
      </c>
      <c r="CD161" s="5" t="s">
        <v>395</v>
      </c>
      <c r="CE161" s="5" t="s">
        <v>395</v>
      </c>
      <c r="CF161" s="5" t="s">
        <v>395</v>
      </c>
      <c r="CG161" s="5" t="s">
        <v>395</v>
      </c>
      <c r="CH161" s="5" t="s">
        <v>395</v>
      </c>
      <c r="CI161" s="5" t="s">
        <v>395</v>
      </c>
      <c r="CJ161" s="5" t="s">
        <v>395</v>
      </c>
      <c r="CK161" s="5" t="s">
        <v>395</v>
      </c>
      <c r="CL161" s="5" t="s">
        <v>395</v>
      </c>
      <c r="CM161" s="5" t="s">
        <v>395</v>
      </c>
      <c r="CN161" s="5" t="s">
        <v>395</v>
      </c>
      <c r="CO161" s="5" t="s">
        <v>395</v>
      </c>
      <c r="CP161" s="5" t="s">
        <v>395</v>
      </c>
      <c r="CQ161" s="5" t="s">
        <v>395</v>
      </c>
      <c r="CR161" s="5" t="s">
        <v>395</v>
      </c>
      <c r="CS161" s="5" t="s">
        <v>395</v>
      </c>
      <c r="CT161" s="5" t="s">
        <v>395</v>
      </c>
      <c r="CU161" s="5" t="s">
        <v>395</v>
      </c>
      <c r="CV161" s="5" t="s">
        <v>395</v>
      </c>
      <c r="CW161" s="5" t="s">
        <v>395</v>
      </c>
      <c r="CX161" s="5" t="s">
        <v>395</v>
      </c>
      <c r="CY161" s="252" t="s">
        <v>395</v>
      </c>
    </row>
    <row r="162" spans="1:103" x14ac:dyDescent="0.3">
      <c r="A162" s="98" t="s">
        <v>28</v>
      </c>
      <c r="B162" s="98" t="s">
        <v>28</v>
      </c>
      <c r="C162" s="132" t="s">
        <v>20</v>
      </c>
      <c r="D162" s="132"/>
      <c r="E162" s="98"/>
      <c r="F162" s="98"/>
      <c r="G162" s="245">
        <v>42625</v>
      </c>
      <c r="H162" s="1">
        <v>2016</v>
      </c>
      <c r="I162" s="75" t="s">
        <v>33</v>
      </c>
      <c r="J162" s="75">
        <v>10</v>
      </c>
      <c r="K162" s="155">
        <v>0.91037831276552605</v>
      </c>
      <c r="L162" s="5">
        <v>3.2172423636882699</v>
      </c>
      <c r="M162" s="5">
        <v>0.15026056745801969</v>
      </c>
      <c r="N162" s="5">
        <v>0.55896545068519587</v>
      </c>
      <c r="O162" s="5">
        <v>1.9866821077012158</v>
      </c>
      <c r="P162" s="5">
        <v>1.5251881876085698</v>
      </c>
      <c r="Q162" s="5">
        <v>3.376375217139548</v>
      </c>
      <c r="R162" s="5">
        <v>3.1627099015634044</v>
      </c>
      <c r="S162" s="5">
        <v>0.96303802354757762</v>
      </c>
      <c r="T162" s="5">
        <v>11.72321945570353</v>
      </c>
      <c r="U162" s="5">
        <f t="shared" si="18"/>
        <v>56.00985395354828</v>
      </c>
      <c r="V162" s="5" t="s">
        <v>59</v>
      </c>
      <c r="W162" s="5">
        <v>0.14400579873006539</v>
      </c>
      <c r="X162" s="5">
        <v>4.5196918922819775E-2</v>
      </c>
      <c r="Y162" s="5">
        <v>6.7998968109107216E-2</v>
      </c>
      <c r="Z162" s="5">
        <v>2.3752134569049427E-2</v>
      </c>
      <c r="AA162" s="5">
        <v>2.7959655549852469E-2</v>
      </c>
      <c r="AB162" s="5">
        <v>3.5560338611948288E-2</v>
      </c>
      <c r="AC162" s="5" t="s">
        <v>65</v>
      </c>
      <c r="AD162" s="5">
        <v>0.34447381449284259</v>
      </c>
      <c r="AE162" s="5">
        <f t="shared" si="19"/>
        <v>0.32072167992379313</v>
      </c>
      <c r="AF162" s="5" t="s">
        <v>65</v>
      </c>
      <c r="AG162" s="250" t="s">
        <v>395</v>
      </c>
      <c r="AH162" s="250">
        <v>7.7002870028700281</v>
      </c>
      <c r="AI162" s="5" t="s">
        <v>46</v>
      </c>
      <c r="AJ162" s="5" t="s">
        <v>69</v>
      </c>
      <c r="AK162" s="5" t="s">
        <v>56</v>
      </c>
      <c r="AL162" s="5" t="s">
        <v>65</v>
      </c>
      <c r="AM162" s="5" t="s">
        <v>65</v>
      </c>
      <c r="AN162" s="5">
        <v>0.34218942189421891</v>
      </c>
      <c r="AO162" s="5">
        <v>4.1738417384173838E-2</v>
      </c>
      <c r="AP162" s="5" t="s">
        <v>71</v>
      </c>
      <c r="AQ162" s="5">
        <v>0.37457974579745795</v>
      </c>
      <c r="AR162" s="5" t="s">
        <v>71</v>
      </c>
      <c r="AS162" s="5" t="s">
        <v>395</v>
      </c>
      <c r="AT162" s="5" t="s">
        <v>395</v>
      </c>
      <c r="AU162" s="5" t="s">
        <v>395</v>
      </c>
      <c r="AV162" s="5" t="s">
        <v>395</v>
      </c>
      <c r="AW162" s="5" t="s">
        <v>395</v>
      </c>
      <c r="AX162" s="5" t="s">
        <v>395</v>
      </c>
      <c r="AY162" s="5" t="s">
        <v>395</v>
      </c>
      <c r="AZ162" s="5" t="s">
        <v>395</v>
      </c>
      <c r="BA162" s="5" t="s">
        <v>395</v>
      </c>
      <c r="BB162" s="5" t="s">
        <v>395</v>
      </c>
      <c r="BC162" s="5">
        <v>130</v>
      </c>
      <c r="BD162" s="5" t="s">
        <v>126</v>
      </c>
      <c r="BE162" s="5" t="s">
        <v>65</v>
      </c>
      <c r="BF162" s="5">
        <v>0.11527265670483215</v>
      </c>
      <c r="BG162" s="5" t="s">
        <v>69</v>
      </c>
      <c r="BH162" s="5">
        <v>0.84339219871919269</v>
      </c>
      <c r="BI162" s="5">
        <v>4.6998835629730253</v>
      </c>
      <c r="BJ162" s="5">
        <v>1.2885697651853287</v>
      </c>
      <c r="BK162" s="5" t="s">
        <v>71</v>
      </c>
      <c r="BL162" s="5">
        <v>3.7321948379584708</v>
      </c>
      <c r="BM162" s="5">
        <v>0.26622355909179118</v>
      </c>
      <c r="BN162" s="5">
        <v>96</v>
      </c>
      <c r="BO162" s="5" t="s">
        <v>395</v>
      </c>
      <c r="BP162" s="5" t="s">
        <v>395</v>
      </c>
      <c r="BQ162" s="5" t="s">
        <v>395</v>
      </c>
      <c r="BR162" s="5" t="s">
        <v>395</v>
      </c>
      <c r="BS162" s="5" t="s">
        <v>395</v>
      </c>
      <c r="BT162" s="5" t="s">
        <v>395</v>
      </c>
      <c r="BU162" s="5" t="s">
        <v>395</v>
      </c>
      <c r="BV162" s="5" t="s">
        <v>395</v>
      </c>
      <c r="BW162" s="5" t="s">
        <v>395</v>
      </c>
      <c r="BX162" s="5" t="s">
        <v>395</v>
      </c>
      <c r="BY162" s="5" t="s">
        <v>395</v>
      </c>
      <c r="BZ162" s="5" t="s">
        <v>395</v>
      </c>
      <c r="CA162" s="5" t="s">
        <v>395</v>
      </c>
      <c r="CB162" s="5" t="s">
        <v>395</v>
      </c>
      <c r="CC162" s="5" t="s">
        <v>395</v>
      </c>
      <c r="CD162" s="5" t="s">
        <v>395</v>
      </c>
      <c r="CE162" s="5" t="s">
        <v>395</v>
      </c>
      <c r="CF162" s="5" t="s">
        <v>395</v>
      </c>
      <c r="CG162" s="5" t="s">
        <v>395</v>
      </c>
      <c r="CH162" s="5" t="s">
        <v>395</v>
      </c>
      <c r="CI162" s="5" t="s">
        <v>395</v>
      </c>
      <c r="CJ162" s="5" t="s">
        <v>395</v>
      </c>
      <c r="CK162" s="5" t="s">
        <v>395</v>
      </c>
      <c r="CL162" s="5" t="s">
        <v>395</v>
      </c>
      <c r="CM162" s="5" t="s">
        <v>395</v>
      </c>
      <c r="CN162" s="5" t="s">
        <v>395</v>
      </c>
      <c r="CO162" s="5" t="s">
        <v>395</v>
      </c>
      <c r="CP162" s="5" t="s">
        <v>395</v>
      </c>
      <c r="CQ162" s="5" t="s">
        <v>395</v>
      </c>
      <c r="CR162" s="5" t="s">
        <v>395</v>
      </c>
      <c r="CS162" s="5" t="s">
        <v>395</v>
      </c>
      <c r="CT162" s="5" t="s">
        <v>395</v>
      </c>
      <c r="CU162" s="5" t="s">
        <v>395</v>
      </c>
      <c r="CV162" s="5" t="s">
        <v>395</v>
      </c>
      <c r="CW162" s="5" t="s">
        <v>395</v>
      </c>
      <c r="CX162" s="5" t="s">
        <v>395</v>
      </c>
      <c r="CY162" s="252" t="s">
        <v>395</v>
      </c>
    </row>
    <row r="163" spans="1:103" x14ac:dyDescent="0.3">
      <c r="A163" s="98" t="s">
        <v>4</v>
      </c>
      <c r="B163" s="98" t="s">
        <v>4</v>
      </c>
      <c r="C163" s="132" t="s">
        <v>20</v>
      </c>
      <c r="D163" s="132"/>
      <c r="E163" s="98"/>
      <c r="F163" s="98"/>
      <c r="G163" s="245">
        <v>42624</v>
      </c>
      <c r="H163" s="1">
        <v>2016</v>
      </c>
      <c r="I163" s="75" t="s">
        <v>33</v>
      </c>
      <c r="J163" s="75">
        <v>14</v>
      </c>
      <c r="K163" s="155">
        <v>0.96251266464033092</v>
      </c>
      <c r="L163" s="5">
        <v>3.1604718450923501</v>
      </c>
      <c r="M163" s="5">
        <v>0.10370961308336657</v>
      </c>
      <c r="N163" s="5">
        <v>0.5758875149581173</v>
      </c>
      <c r="O163" s="5">
        <v>2.7869964100518545</v>
      </c>
      <c r="P163" s="5">
        <v>2.3708615875548462</v>
      </c>
      <c r="Q163" s="5">
        <v>6.4</v>
      </c>
      <c r="R163" s="5">
        <v>5.7</v>
      </c>
      <c r="S163" s="5">
        <v>1.6718189070602314</v>
      </c>
      <c r="T163" s="5">
        <v>19.609274032708417</v>
      </c>
      <c r="U163" s="5">
        <f t="shared" si="18"/>
        <v>89.549016228244511</v>
      </c>
      <c r="V163" s="5" t="s">
        <v>59</v>
      </c>
      <c r="W163" s="5">
        <v>0.19383285346921655</v>
      </c>
      <c r="X163" s="5">
        <v>8.0440634189724872E-2</v>
      </c>
      <c r="Y163" s="5">
        <v>0.21676974112974051</v>
      </c>
      <c r="Z163" s="5">
        <v>2.4229106683652069E-2</v>
      </c>
      <c r="AA163" s="5">
        <v>3.4082276735003907E-2</v>
      </c>
      <c r="AB163" s="5">
        <v>3.6020605269696075E-2</v>
      </c>
      <c r="AC163" s="5" t="s">
        <v>65</v>
      </c>
      <c r="AD163" s="5">
        <v>0.58537521747703392</v>
      </c>
      <c r="AE163" s="5">
        <f t="shared" si="19"/>
        <v>0.56114611079338184</v>
      </c>
      <c r="AF163" s="5" t="s">
        <v>65</v>
      </c>
      <c r="AG163" s="250" t="s">
        <v>395</v>
      </c>
      <c r="AH163" s="250">
        <v>9.8341049382716044</v>
      </c>
      <c r="AI163" s="5" t="s">
        <v>46</v>
      </c>
      <c r="AJ163" s="5" t="s">
        <v>69</v>
      </c>
      <c r="AK163" s="5" t="s">
        <v>56</v>
      </c>
      <c r="AL163" s="5" t="s">
        <v>65</v>
      </c>
      <c r="AM163" s="5" t="s">
        <v>65</v>
      </c>
      <c r="AN163" s="5">
        <v>0.48894032921810698</v>
      </c>
      <c r="AO163" s="5">
        <v>0.10751028806584362</v>
      </c>
      <c r="AP163" s="5" t="s">
        <v>71</v>
      </c>
      <c r="AQ163" s="5">
        <v>0.30932784636488336</v>
      </c>
      <c r="AR163" s="5">
        <v>6.3237311385459516E-2</v>
      </c>
      <c r="AS163" s="5" t="s">
        <v>395</v>
      </c>
      <c r="AT163" s="5" t="s">
        <v>395</v>
      </c>
      <c r="AU163" s="5" t="s">
        <v>395</v>
      </c>
      <c r="AV163" s="5" t="s">
        <v>395</v>
      </c>
      <c r="AW163" s="5" t="s">
        <v>395</v>
      </c>
      <c r="AX163" s="5" t="s">
        <v>395</v>
      </c>
      <c r="AY163" s="5" t="s">
        <v>395</v>
      </c>
      <c r="AZ163" s="5" t="s">
        <v>395</v>
      </c>
      <c r="BA163" s="5" t="s">
        <v>395</v>
      </c>
      <c r="BB163" s="5" t="s">
        <v>395</v>
      </c>
      <c r="BC163" s="5">
        <v>170.29438510392612</v>
      </c>
      <c r="BD163" s="5" t="s">
        <v>126</v>
      </c>
      <c r="BE163" s="5" t="s">
        <v>65</v>
      </c>
      <c r="BF163" s="5" t="s">
        <v>56</v>
      </c>
      <c r="BG163" s="5" t="s">
        <v>69</v>
      </c>
      <c r="BH163" s="5">
        <v>0.49740184757505779</v>
      </c>
      <c r="BI163" s="5">
        <v>5.5020929561200926</v>
      </c>
      <c r="BJ163" s="5">
        <v>1.5617782909930717</v>
      </c>
      <c r="BK163" s="5" t="s">
        <v>71</v>
      </c>
      <c r="BL163" s="5">
        <v>5.4318706697459582</v>
      </c>
      <c r="BM163" s="5">
        <v>0.2225534064665127</v>
      </c>
      <c r="BN163" s="5">
        <v>89</v>
      </c>
      <c r="BO163" s="5" t="s">
        <v>395</v>
      </c>
      <c r="BP163" s="5" t="s">
        <v>395</v>
      </c>
      <c r="BQ163" s="5" t="s">
        <v>395</v>
      </c>
      <c r="BR163" s="5" t="s">
        <v>395</v>
      </c>
      <c r="BS163" s="5" t="s">
        <v>395</v>
      </c>
      <c r="BT163" s="5" t="s">
        <v>395</v>
      </c>
      <c r="BU163" s="5" t="s">
        <v>395</v>
      </c>
      <c r="BV163" s="5" t="s">
        <v>395</v>
      </c>
      <c r="BW163" s="5" t="s">
        <v>395</v>
      </c>
      <c r="BX163" s="5" t="s">
        <v>395</v>
      </c>
      <c r="BY163" s="5" t="s">
        <v>395</v>
      </c>
      <c r="BZ163" s="5" t="s">
        <v>395</v>
      </c>
      <c r="CA163" s="5" t="s">
        <v>395</v>
      </c>
      <c r="CB163" s="5" t="s">
        <v>395</v>
      </c>
      <c r="CC163" s="5" t="s">
        <v>395</v>
      </c>
      <c r="CD163" s="5" t="s">
        <v>395</v>
      </c>
      <c r="CE163" s="5" t="s">
        <v>395</v>
      </c>
      <c r="CF163" s="5" t="s">
        <v>395</v>
      </c>
      <c r="CG163" s="5" t="s">
        <v>395</v>
      </c>
      <c r="CH163" s="5" t="s">
        <v>395</v>
      </c>
      <c r="CI163" s="5" t="s">
        <v>395</v>
      </c>
      <c r="CJ163" s="5" t="s">
        <v>395</v>
      </c>
      <c r="CK163" s="5" t="s">
        <v>395</v>
      </c>
      <c r="CL163" s="5" t="s">
        <v>395</v>
      </c>
      <c r="CM163" s="5" t="s">
        <v>395</v>
      </c>
      <c r="CN163" s="5" t="s">
        <v>395</v>
      </c>
      <c r="CO163" s="5" t="s">
        <v>395</v>
      </c>
      <c r="CP163" s="5" t="s">
        <v>395</v>
      </c>
      <c r="CQ163" s="5" t="s">
        <v>395</v>
      </c>
      <c r="CR163" s="5" t="s">
        <v>395</v>
      </c>
      <c r="CS163" s="5" t="s">
        <v>395</v>
      </c>
      <c r="CT163" s="5" t="s">
        <v>395</v>
      </c>
      <c r="CU163" s="5" t="s">
        <v>395</v>
      </c>
      <c r="CV163" s="5" t="s">
        <v>395</v>
      </c>
      <c r="CW163" s="5" t="s">
        <v>395</v>
      </c>
      <c r="CX163" s="5" t="s">
        <v>395</v>
      </c>
      <c r="CY163" s="252" t="s">
        <v>395</v>
      </c>
    </row>
    <row r="164" spans="1:103" x14ac:dyDescent="0.3">
      <c r="A164" s="98" t="s">
        <v>32</v>
      </c>
      <c r="B164" s="98" t="s">
        <v>32</v>
      </c>
      <c r="C164" s="132" t="s">
        <v>31</v>
      </c>
      <c r="D164" s="132"/>
      <c r="E164" s="98"/>
      <c r="F164" s="98"/>
      <c r="G164" s="245" t="s">
        <v>31</v>
      </c>
      <c r="H164" s="1">
        <v>2015</v>
      </c>
      <c r="I164" s="75" t="s">
        <v>3</v>
      </c>
      <c r="J164" s="75" t="s">
        <v>158</v>
      </c>
      <c r="K164" s="155" t="s">
        <v>395</v>
      </c>
      <c r="L164" s="5" t="s">
        <v>395</v>
      </c>
      <c r="M164" s="6">
        <v>0.04</v>
      </c>
      <c r="N164" s="6">
        <v>0.05</v>
      </c>
      <c r="O164" s="6">
        <v>0.04</v>
      </c>
      <c r="P164" s="6">
        <v>0.03</v>
      </c>
      <c r="Q164" s="6">
        <v>0.03</v>
      </c>
      <c r="R164" s="6">
        <v>0.03</v>
      </c>
      <c r="S164" s="6">
        <v>0.03</v>
      </c>
      <c r="T164" s="6" t="s">
        <v>395</v>
      </c>
      <c r="U164" s="5" t="s">
        <v>395</v>
      </c>
      <c r="V164" s="6">
        <v>2.5000000000000001E-2</v>
      </c>
      <c r="W164" s="6">
        <v>0.02</v>
      </c>
      <c r="X164" s="6">
        <v>0.02</v>
      </c>
      <c r="Y164" s="6">
        <v>0.02</v>
      </c>
      <c r="Z164" s="6">
        <v>2.5000000000000001E-2</v>
      </c>
      <c r="AA164" s="6">
        <v>2.5000000000000001E-2</v>
      </c>
      <c r="AB164" s="6">
        <v>2.5000000000000001E-2</v>
      </c>
      <c r="AC164" s="6">
        <v>0.1</v>
      </c>
      <c r="AD164" s="6" t="s">
        <v>395</v>
      </c>
      <c r="AE164" s="6">
        <v>0.1</v>
      </c>
      <c r="AF164" s="5">
        <v>0.1</v>
      </c>
      <c r="AG164" s="250" t="s">
        <v>395</v>
      </c>
      <c r="AH164" s="250">
        <v>0.1</v>
      </c>
      <c r="AI164" s="5">
        <v>0.1</v>
      </c>
      <c r="AJ164" s="5">
        <v>0.02</v>
      </c>
      <c r="AK164" s="5">
        <v>0.1</v>
      </c>
      <c r="AL164" s="5">
        <v>0.1</v>
      </c>
      <c r="AM164" s="5">
        <v>0.1</v>
      </c>
      <c r="AN164" s="5">
        <v>0.05</v>
      </c>
      <c r="AO164" s="5">
        <v>0.01</v>
      </c>
      <c r="AP164" s="5">
        <v>0.1</v>
      </c>
      <c r="AQ164" s="5">
        <v>0.02</v>
      </c>
      <c r="AR164" s="5">
        <v>0.1</v>
      </c>
      <c r="AS164" s="5" t="s">
        <v>395</v>
      </c>
      <c r="AT164" s="5" t="s">
        <v>395</v>
      </c>
      <c r="AU164" s="5" t="s">
        <v>395</v>
      </c>
      <c r="AV164" s="5" t="s">
        <v>395</v>
      </c>
      <c r="AW164" s="5" t="s">
        <v>395</v>
      </c>
      <c r="AX164" s="5" t="s">
        <v>395</v>
      </c>
      <c r="AY164" s="5" t="s">
        <v>395</v>
      </c>
      <c r="AZ164" s="5" t="s">
        <v>395</v>
      </c>
      <c r="BA164" s="5" t="s">
        <v>395</v>
      </c>
      <c r="BB164" s="5" t="s">
        <v>395</v>
      </c>
      <c r="BC164" s="5">
        <v>0.1</v>
      </c>
      <c r="BD164" s="5">
        <v>0.1</v>
      </c>
      <c r="BE164" s="5">
        <v>0.02</v>
      </c>
      <c r="BF164" s="5">
        <v>0.1</v>
      </c>
      <c r="BG164" s="5">
        <v>0.05</v>
      </c>
      <c r="BH164" s="5">
        <v>0.1</v>
      </c>
      <c r="BI164" s="5">
        <v>0.05</v>
      </c>
      <c r="BJ164" s="5">
        <v>0.01</v>
      </c>
      <c r="BK164" s="5">
        <v>0.1</v>
      </c>
      <c r="BL164" s="5">
        <v>0.02</v>
      </c>
      <c r="BM164" s="6">
        <v>0.04</v>
      </c>
      <c r="BN164" s="6" t="s">
        <v>395</v>
      </c>
      <c r="BO164" s="5" t="s">
        <v>395</v>
      </c>
      <c r="BP164" s="5" t="s">
        <v>395</v>
      </c>
      <c r="BQ164" s="5" t="s">
        <v>395</v>
      </c>
      <c r="BR164" s="5" t="s">
        <v>395</v>
      </c>
      <c r="BS164" s="5" t="s">
        <v>395</v>
      </c>
      <c r="BT164" s="5" t="s">
        <v>395</v>
      </c>
      <c r="BU164" s="5" t="s">
        <v>395</v>
      </c>
      <c r="BV164" s="5" t="s">
        <v>395</v>
      </c>
      <c r="BW164" s="5" t="s">
        <v>395</v>
      </c>
      <c r="BX164" s="5" t="s">
        <v>395</v>
      </c>
      <c r="BY164" s="5" t="s">
        <v>395</v>
      </c>
      <c r="BZ164" s="5" t="s">
        <v>395</v>
      </c>
      <c r="CA164" s="5" t="s">
        <v>395</v>
      </c>
      <c r="CB164" s="5" t="s">
        <v>395</v>
      </c>
      <c r="CC164" s="5" t="s">
        <v>395</v>
      </c>
      <c r="CD164" s="5" t="s">
        <v>395</v>
      </c>
      <c r="CE164" s="5" t="s">
        <v>395</v>
      </c>
      <c r="CF164" s="5" t="s">
        <v>395</v>
      </c>
      <c r="CG164" s="5" t="s">
        <v>395</v>
      </c>
      <c r="CH164" s="5" t="s">
        <v>395</v>
      </c>
      <c r="CI164" s="5" t="s">
        <v>395</v>
      </c>
      <c r="CJ164" s="5" t="s">
        <v>395</v>
      </c>
      <c r="CK164" s="5" t="s">
        <v>395</v>
      </c>
      <c r="CL164" s="5" t="s">
        <v>395</v>
      </c>
      <c r="CM164" s="5" t="s">
        <v>395</v>
      </c>
      <c r="CN164" s="5" t="s">
        <v>395</v>
      </c>
      <c r="CO164" s="5" t="s">
        <v>395</v>
      </c>
      <c r="CP164" s="5" t="s">
        <v>395</v>
      </c>
      <c r="CQ164" s="5" t="s">
        <v>395</v>
      </c>
      <c r="CR164" s="5" t="s">
        <v>395</v>
      </c>
      <c r="CS164" s="5" t="s">
        <v>395</v>
      </c>
      <c r="CT164" s="5" t="s">
        <v>395</v>
      </c>
      <c r="CU164" s="5" t="s">
        <v>395</v>
      </c>
      <c r="CV164" s="5" t="s">
        <v>395</v>
      </c>
      <c r="CW164" s="5" t="s">
        <v>395</v>
      </c>
      <c r="CX164" s="5" t="s">
        <v>395</v>
      </c>
      <c r="CY164" s="252" t="s">
        <v>395</v>
      </c>
    </row>
    <row r="165" spans="1:103" x14ac:dyDescent="0.3">
      <c r="A165" s="98" t="s">
        <v>22</v>
      </c>
      <c r="B165" s="98" t="s">
        <v>22</v>
      </c>
      <c r="C165" s="132" t="s">
        <v>20</v>
      </c>
      <c r="D165" s="132"/>
      <c r="E165" s="98"/>
      <c r="F165" s="98"/>
      <c r="G165" s="245">
        <v>42251</v>
      </c>
      <c r="H165" s="1">
        <v>2015</v>
      </c>
      <c r="I165" s="75" t="s">
        <v>33</v>
      </c>
      <c r="J165" s="75">
        <v>10</v>
      </c>
      <c r="K165" s="155" t="s">
        <v>395</v>
      </c>
      <c r="L165" s="5" t="s">
        <v>395</v>
      </c>
      <c r="M165" s="5">
        <v>0.52</v>
      </c>
      <c r="N165" s="5">
        <v>1.3</v>
      </c>
      <c r="O165" s="5">
        <v>3</v>
      </c>
      <c r="P165" s="5">
        <v>2.4</v>
      </c>
      <c r="Q165" s="5">
        <v>5.5</v>
      </c>
      <c r="R165" s="5">
        <v>4.9000000000000004</v>
      </c>
      <c r="S165" s="5">
        <v>2.6</v>
      </c>
      <c r="T165" s="5">
        <f>SUM(M165:S165)</f>
        <v>20.220000000000002</v>
      </c>
      <c r="U165" s="5" t="s">
        <v>395</v>
      </c>
      <c r="V165" s="5" t="s">
        <v>76</v>
      </c>
      <c r="W165" s="5">
        <v>0.15</v>
      </c>
      <c r="X165" s="5">
        <v>0.1</v>
      </c>
      <c r="Y165" s="5">
        <v>0.16</v>
      </c>
      <c r="Z165" s="5" t="s">
        <v>76</v>
      </c>
      <c r="AA165" s="5">
        <v>0.05</v>
      </c>
      <c r="AB165" s="5">
        <v>3.1E-2</v>
      </c>
      <c r="AC165" s="5" t="s">
        <v>65</v>
      </c>
      <c r="AD165" s="5">
        <f>SUM(V165:AC165)</f>
        <v>0.49099999999999999</v>
      </c>
      <c r="AE165" s="5">
        <f>SUM(V165,W165,Y165,X165,AB165,AA165)</f>
        <v>0.49100000000000005</v>
      </c>
      <c r="AF165" s="5" t="s">
        <v>65</v>
      </c>
      <c r="AG165" s="250" t="s">
        <v>395</v>
      </c>
      <c r="AH165" s="250">
        <v>17.810970636215334</v>
      </c>
      <c r="AI165" s="5" t="s">
        <v>65</v>
      </c>
      <c r="AJ165" s="5" t="s">
        <v>65</v>
      </c>
      <c r="AK165" s="5" t="s">
        <v>56</v>
      </c>
      <c r="AL165" s="5" t="s">
        <v>65</v>
      </c>
      <c r="AM165" s="5" t="s">
        <v>65</v>
      </c>
      <c r="AN165" s="5">
        <v>0.58049806280587268</v>
      </c>
      <c r="AO165" s="5">
        <v>0.35098898858075034</v>
      </c>
      <c r="AP165" s="5" t="s">
        <v>72</v>
      </c>
      <c r="AQ165" s="5">
        <v>0.62009074225122351</v>
      </c>
      <c r="AR165" s="5">
        <v>6.7546900489396419E-2</v>
      </c>
      <c r="AS165" s="5" t="s">
        <v>395</v>
      </c>
      <c r="AT165" s="5" t="s">
        <v>395</v>
      </c>
      <c r="AU165" s="5" t="s">
        <v>395</v>
      </c>
      <c r="AV165" s="5" t="s">
        <v>395</v>
      </c>
      <c r="AW165" s="5" t="s">
        <v>395</v>
      </c>
      <c r="AX165" s="5" t="s">
        <v>395</v>
      </c>
      <c r="AY165" s="5" t="s">
        <v>395</v>
      </c>
      <c r="AZ165" s="5" t="s">
        <v>395</v>
      </c>
      <c r="BA165" s="5" t="s">
        <v>395</v>
      </c>
      <c r="BB165" s="5" t="s">
        <v>395</v>
      </c>
      <c r="BC165" s="5">
        <v>210</v>
      </c>
      <c r="BD165" s="5" t="s">
        <v>65</v>
      </c>
      <c r="BE165" s="5" t="s">
        <v>65</v>
      </c>
      <c r="BF165" s="5">
        <v>0.14761991279069767</v>
      </c>
      <c r="BG165" s="5" t="s">
        <v>65</v>
      </c>
      <c r="BH165" s="5">
        <v>0.2397937863372093</v>
      </c>
      <c r="BI165" s="5">
        <v>6.5649573037790701</v>
      </c>
      <c r="BJ165" s="5">
        <v>3.7922420058139537</v>
      </c>
      <c r="BK165" s="5" t="s">
        <v>72</v>
      </c>
      <c r="BL165" s="5">
        <v>7.8546239098837223</v>
      </c>
      <c r="BM165" s="5">
        <v>0.34111555232558138</v>
      </c>
      <c r="BN165" s="5">
        <v>110</v>
      </c>
      <c r="BO165" s="5" t="s">
        <v>395</v>
      </c>
      <c r="BP165" s="5" t="s">
        <v>395</v>
      </c>
      <c r="BQ165" s="5" t="s">
        <v>395</v>
      </c>
      <c r="BR165" s="5" t="s">
        <v>395</v>
      </c>
      <c r="BS165" s="5" t="s">
        <v>395</v>
      </c>
      <c r="BT165" s="5" t="s">
        <v>395</v>
      </c>
      <c r="BU165" s="5" t="s">
        <v>395</v>
      </c>
      <c r="BV165" s="5" t="s">
        <v>395</v>
      </c>
      <c r="BW165" s="5" t="s">
        <v>395</v>
      </c>
      <c r="BX165" s="5" t="s">
        <v>395</v>
      </c>
      <c r="BY165" s="5" t="s">
        <v>395</v>
      </c>
      <c r="BZ165" s="5" t="s">
        <v>395</v>
      </c>
      <c r="CA165" s="5" t="s">
        <v>395</v>
      </c>
      <c r="CB165" s="5" t="s">
        <v>395</v>
      </c>
      <c r="CC165" s="5" t="s">
        <v>395</v>
      </c>
      <c r="CD165" s="5" t="s">
        <v>395</v>
      </c>
      <c r="CE165" s="5" t="s">
        <v>395</v>
      </c>
      <c r="CF165" s="5" t="s">
        <v>395</v>
      </c>
      <c r="CG165" s="5" t="s">
        <v>395</v>
      </c>
      <c r="CH165" s="5" t="s">
        <v>395</v>
      </c>
      <c r="CI165" s="5" t="s">
        <v>395</v>
      </c>
      <c r="CJ165" s="5" t="s">
        <v>395</v>
      </c>
      <c r="CK165" s="5" t="s">
        <v>395</v>
      </c>
      <c r="CL165" s="5" t="s">
        <v>395</v>
      </c>
      <c r="CM165" s="5" t="s">
        <v>395</v>
      </c>
      <c r="CN165" s="5" t="s">
        <v>395</v>
      </c>
      <c r="CO165" s="5" t="s">
        <v>395</v>
      </c>
      <c r="CP165" s="5" t="s">
        <v>395</v>
      </c>
      <c r="CQ165" s="5" t="s">
        <v>395</v>
      </c>
      <c r="CR165" s="5" t="s">
        <v>395</v>
      </c>
      <c r="CS165" s="5" t="s">
        <v>395</v>
      </c>
      <c r="CT165" s="5" t="s">
        <v>395</v>
      </c>
      <c r="CU165" s="5" t="s">
        <v>395</v>
      </c>
      <c r="CV165" s="5" t="s">
        <v>395</v>
      </c>
      <c r="CW165" s="5" t="s">
        <v>395</v>
      </c>
      <c r="CX165" s="5" t="s">
        <v>395</v>
      </c>
      <c r="CY165" s="252" t="s">
        <v>395</v>
      </c>
    </row>
    <row r="166" spans="1:103" x14ac:dyDescent="0.3">
      <c r="A166" s="98" t="s">
        <v>112</v>
      </c>
      <c r="B166" s="98" t="s">
        <v>24</v>
      </c>
      <c r="C166" s="132" t="s">
        <v>20</v>
      </c>
      <c r="D166" s="132"/>
      <c r="E166" s="98"/>
      <c r="F166" s="98"/>
      <c r="G166" s="245">
        <v>42244</v>
      </c>
      <c r="H166" s="1">
        <v>2015</v>
      </c>
      <c r="I166" s="75" t="s">
        <v>33</v>
      </c>
      <c r="J166" s="75">
        <v>10</v>
      </c>
      <c r="K166" s="155" t="s">
        <v>395</v>
      </c>
      <c r="L166" s="5" t="s">
        <v>395</v>
      </c>
      <c r="M166" s="5">
        <v>0.56999999999999995</v>
      </c>
      <c r="N166" s="5">
        <v>1.4</v>
      </c>
      <c r="O166" s="5">
        <v>3.4</v>
      </c>
      <c r="P166" s="5">
        <v>2.8</v>
      </c>
      <c r="Q166" s="5">
        <v>5.3</v>
      </c>
      <c r="R166" s="5">
        <v>4.5999999999999996</v>
      </c>
      <c r="S166" s="5">
        <v>2</v>
      </c>
      <c r="T166" s="5">
        <f t="shared" ref="T166:T174" si="20">SUM(M166:S166)</f>
        <v>20.07</v>
      </c>
      <c r="U166" s="5" t="s">
        <v>395</v>
      </c>
      <c r="V166" s="5" t="s">
        <v>77</v>
      </c>
      <c r="W166" s="5">
        <v>0.17</v>
      </c>
      <c r="X166" s="5">
        <v>5.8000000000000003E-2</v>
      </c>
      <c r="Y166" s="5">
        <v>9.0999999999999998E-2</v>
      </c>
      <c r="Z166" s="5" t="s">
        <v>77</v>
      </c>
      <c r="AA166" s="5">
        <v>3.9E-2</v>
      </c>
      <c r="AB166" s="5" t="s">
        <v>77</v>
      </c>
      <c r="AC166" s="5" t="s">
        <v>65</v>
      </c>
      <c r="AD166" s="5">
        <f t="shared" ref="AD166:AD174" si="21">SUM(V166:AC166)</f>
        <v>0.35799999999999998</v>
      </c>
      <c r="AE166" s="5">
        <f t="shared" si="19"/>
        <v>0.35799999999999998</v>
      </c>
      <c r="AF166" s="5" t="s">
        <v>65</v>
      </c>
      <c r="AG166" s="250" t="s">
        <v>395</v>
      </c>
      <c r="AH166" s="250">
        <v>17.067451420029897</v>
      </c>
      <c r="AI166" s="5" t="s">
        <v>65</v>
      </c>
      <c r="AJ166" s="5">
        <v>0.2</v>
      </c>
      <c r="AK166" s="5" t="s">
        <v>56</v>
      </c>
      <c r="AL166" s="5" t="s">
        <v>65</v>
      </c>
      <c r="AM166" s="5" t="s">
        <v>65</v>
      </c>
      <c r="AN166" s="5">
        <v>1.1148659379671151</v>
      </c>
      <c r="AO166" s="5">
        <v>0.57291666666666663</v>
      </c>
      <c r="AP166" s="5" t="s">
        <v>72</v>
      </c>
      <c r="AQ166" s="5">
        <v>1.2548439835575487</v>
      </c>
      <c r="AR166" s="5" t="s">
        <v>56</v>
      </c>
      <c r="AS166" s="5" t="s">
        <v>395</v>
      </c>
      <c r="AT166" s="5" t="s">
        <v>395</v>
      </c>
      <c r="AU166" s="5" t="s">
        <v>395</v>
      </c>
      <c r="AV166" s="5" t="s">
        <v>395</v>
      </c>
      <c r="AW166" s="5" t="s">
        <v>395</v>
      </c>
      <c r="AX166" s="5" t="s">
        <v>395</v>
      </c>
      <c r="AY166" s="5" t="s">
        <v>395</v>
      </c>
      <c r="AZ166" s="5" t="s">
        <v>395</v>
      </c>
      <c r="BA166" s="5" t="s">
        <v>395</v>
      </c>
      <c r="BB166" s="5" t="s">
        <v>395</v>
      </c>
      <c r="BC166" s="5">
        <v>200</v>
      </c>
      <c r="BD166" s="5" t="s">
        <v>65</v>
      </c>
      <c r="BE166" s="5" t="s">
        <v>65</v>
      </c>
      <c r="BF166" s="5">
        <v>0.28710087082728586</v>
      </c>
      <c r="BG166" s="5" t="s">
        <v>65</v>
      </c>
      <c r="BH166" s="5">
        <v>0.32290003628447023</v>
      </c>
      <c r="BI166" s="5">
        <v>10.093164912917272</v>
      </c>
      <c r="BJ166" s="5">
        <v>2.7707728592162555</v>
      </c>
      <c r="BK166" s="5" t="s">
        <v>72</v>
      </c>
      <c r="BL166" s="5">
        <v>10.510132438316401</v>
      </c>
      <c r="BM166" s="5">
        <v>0.1809687953555878</v>
      </c>
      <c r="BN166" s="5">
        <v>200</v>
      </c>
      <c r="BO166" s="5" t="s">
        <v>395</v>
      </c>
      <c r="BP166" s="5" t="s">
        <v>395</v>
      </c>
      <c r="BQ166" s="5" t="s">
        <v>395</v>
      </c>
      <c r="BR166" s="5" t="s">
        <v>395</v>
      </c>
      <c r="BS166" s="5" t="s">
        <v>395</v>
      </c>
      <c r="BT166" s="5" t="s">
        <v>395</v>
      </c>
      <c r="BU166" s="5" t="s">
        <v>395</v>
      </c>
      <c r="BV166" s="5" t="s">
        <v>395</v>
      </c>
      <c r="BW166" s="5" t="s">
        <v>395</v>
      </c>
      <c r="BX166" s="5" t="s">
        <v>395</v>
      </c>
      <c r="BY166" s="5" t="s">
        <v>395</v>
      </c>
      <c r="BZ166" s="5" t="s">
        <v>395</v>
      </c>
      <c r="CA166" s="5" t="s">
        <v>395</v>
      </c>
      <c r="CB166" s="5" t="s">
        <v>395</v>
      </c>
      <c r="CC166" s="5" t="s">
        <v>395</v>
      </c>
      <c r="CD166" s="5" t="s">
        <v>395</v>
      </c>
      <c r="CE166" s="5" t="s">
        <v>395</v>
      </c>
      <c r="CF166" s="5" t="s">
        <v>395</v>
      </c>
      <c r="CG166" s="5" t="s">
        <v>395</v>
      </c>
      <c r="CH166" s="5" t="s">
        <v>395</v>
      </c>
      <c r="CI166" s="5" t="s">
        <v>395</v>
      </c>
      <c r="CJ166" s="5" t="s">
        <v>395</v>
      </c>
      <c r="CK166" s="5" t="s">
        <v>395</v>
      </c>
      <c r="CL166" s="5" t="s">
        <v>395</v>
      </c>
      <c r="CM166" s="5" t="s">
        <v>395</v>
      </c>
      <c r="CN166" s="5" t="s">
        <v>395</v>
      </c>
      <c r="CO166" s="5" t="s">
        <v>395</v>
      </c>
      <c r="CP166" s="5" t="s">
        <v>395</v>
      </c>
      <c r="CQ166" s="5" t="s">
        <v>395</v>
      </c>
      <c r="CR166" s="5" t="s">
        <v>395</v>
      </c>
      <c r="CS166" s="5" t="s">
        <v>395</v>
      </c>
      <c r="CT166" s="5" t="s">
        <v>395</v>
      </c>
      <c r="CU166" s="5" t="s">
        <v>395</v>
      </c>
      <c r="CV166" s="5" t="s">
        <v>395</v>
      </c>
      <c r="CW166" s="5" t="s">
        <v>395</v>
      </c>
      <c r="CX166" s="5" t="s">
        <v>395</v>
      </c>
      <c r="CY166" s="252" t="s">
        <v>395</v>
      </c>
    </row>
    <row r="167" spans="1:103" x14ac:dyDescent="0.3">
      <c r="A167" s="98" t="s">
        <v>21</v>
      </c>
      <c r="B167" s="98" t="s">
        <v>21</v>
      </c>
      <c r="C167" s="132" t="s">
        <v>20</v>
      </c>
      <c r="D167" s="132"/>
      <c r="E167" s="98"/>
      <c r="F167" s="98"/>
      <c r="G167" s="245">
        <v>42248</v>
      </c>
      <c r="H167" s="1">
        <v>2015</v>
      </c>
      <c r="I167" s="75" t="s">
        <v>33</v>
      </c>
      <c r="J167" s="75">
        <v>10</v>
      </c>
      <c r="K167" s="155" t="s">
        <v>395</v>
      </c>
      <c r="L167" s="5" t="s">
        <v>395</v>
      </c>
      <c r="M167" s="5" t="s">
        <v>39</v>
      </c>
      <c r="N167" s="5" t="s">
        <v>71</v>
      </c>
      <c r="O167" s="5">
        <v>0.6</v>
      </c>
      <c r="P167" s="5">
        <v>0.43</v>
      </c>
      <c r="Q167" s="5">
        <v>1.9</v>
      </c>
      <c r="R167" s="5">
        <v>1.5</v>
      </c>
      <c r="S167" s="5">
        <v>0.88</v>
      </c>
      <c r="T167" s="5">
        <f t="shared" si="20"/>
        <v>5.31</v>
      </c>
      <c r="U167" s="5" t="s">
        <v>395</v>
      </c>
      <c r="V167" s="5" t="s">
        <v>76</v>
      </c>
      <c r="W167" s="5">
        <v>6.0999999999999999E-2</v>
      </c>
      <c r="X167" s="5">
        <v>3.1E-2</v>
      </c>
      <c r="Y167" s="5">
        <v>5.5E-2</v>
      </c>
      <c r="Z167" s="5" t="s">
        <v>76</v>
      </c>
      <c r="AA167" s="5">
        <v>3.4000000000000002E-2</v>
      </c>
      <c r="AB167" s="5" t="s">
        <v>76</v>
      </c>
      <c r="AC167" s="5" t="s">
        <v>65</v>
      </c>
      <c r="AD167" s="5">
        <f t="shared" si="21"/>
        <v>0.18099999999999999</v>
      </c>
      <c r="AE167" s="5">
        <f t="shared" si="19"/>
        <v>0.18099999999999999</v>
      </c>
      <c r="AF167" s="5" t="s">
        <v>65</v>
      </c>
      <c r="AG167" s="250" t="s">
        <v>395</v>
      </c>
      <c r="AH167" s="250">
        <v>29.020143739244862</v>
      </c>
      <c r="AI167" s="5" t="s">
        <v>65</v>
      </c>
      <c r="AJ167" s="5" t="s">
        <v>65</v>
      </c>
      <c r="AK167" s="5" t="s">
        <v>56</v>
      </c>
      <c r="AL167" s="5" t="s">
        <v>65</v>
      </c>
      <c r="AM167" s="5" t="s">
        <v>65</v>
      </c>
      <c r="AN167" s="5">
        <v>1.0358867294260554</v>
      </c>
      <c r="AO167" s="5">
        <v>0.51245065290009106</v>
      </c>
      <c r="AP167" s="5" t="s">
        <v>72</v>
      </c>
      <c r="AQ167" s="5">
        <v>0.65511185342646017</v>
      </c>
      <c r="AR167" s="5">
        <v>0.12324121874683672</v>
      </c>
      <c r="AS167" s="5" t="s">
        <v>395</v>
      </c>
      <c r="AT167" s="5" t="s">
        <v>395</v>
      </c>
      <c r="AU167" s="5" t="s">
        <v>395</v>
      </c>
      <c r="AV167" s="5" t="s">
        <v>395</v>
      </c>
      <c r="AW167" s="5" t="s">
        <v>395</v>
      </c>
      <c r="AX167" s="5" t="s">
        <v>395</v>
      </c>
      <c r="AY167" s="5" t="s">
        <v>395</v>
      </c>
      <c r="AZ167" s="5" t="s">
        <v>395</v>
      </c>
      <c r="BA167" s="5" t="s">
        <v>395</v>
      </c>
      <c r="BB167" s="5" t="s">
        <v>395</v>
      </c>
      <c r="BC167" s="5">
        <v>520</v>
      </c>
      <c r="BD167" s="5" t="s">
        <v>65</v>
      </c>
      <c r="BE167" s="5" t="s">
        <v>65</v>
      </c>
      <c r="BF167" s="5">
        <v>0.55040733197556002</v>
      </c>
      <c r="BG167" s="5" t="s">
        <v>65</v>
      </c>
      <c r="BH167" s="5">
        <v>0.44802953156822811</v>
      </c>
      <c r="BI167" s="5">
        <v>12.002754582484727</v>
      </c>
      <c r="BJ167" s="5">
        <v>8.9760692464358467</v>
      </c>
      <c r="BK167" s="5" t="s">
        <v>72</v>
      </c>
      <c r="BL167" s="5">
        <v>7.6846945010183294</v>
      </c>
      <c r="BM167" s="5">
        <v>0.49439918533604893</v>
      </c>
      <c r="BN167" s="5">
        <v>70</v>
      </c>
      <c r="BO167" s="5" t="s">
        <v>395</v>
      </c>
      <c r="BP167" s="5" t="s">
        <v>395</v>
      </c>
      <c r="BQ167" s="5" t="s">
        <v>395</v>
      </c>
      <c r="BR167" s="5" t="s">
        <v>395</v>
      </c>
      <c r="BS167" s="5" t="s">
        <v>395</v>
      </c>
      <c r="BT167" s="5" t="s">
        <v>395</v>
      </c>
      <c r="BU167" s="5" t="s">
        <v>395</v>
      </c>
      <c r="BV167" s="5" t="s">
        <v>395</v>
      </c>
      <c r="BW167" s="5" t="s">
        <v>395</v>
      </c>
      <c r="BX167" s="5" t="s">
        <v>395</v>
      </c>
      <c r="BY167" s="5" t="s">
        <v>395</v>
      </c>
      <c r="BZ167" s="5" t="s">
        <v>395</v>
      </c>
      <c r="CA167" s="5" t="s">
        <v>395</v>
      </c>
      <c r="CB167" s="5" t="s">
        <v>395</v>
      </c>
      <c r="CC167" s="5" t="s">
        <v>395</v>
      </c>
      <c r="CD167" s="5" t="s">
        <v>395</v>
      </c>
      <c r="CE167" s="5" t="s">
        <v>395</v>
      </c>
      <c r="CF167" s="5" t="s">
        <v>395</v>
      </c>
      <c r="CG167" s="5" t="s">
        <v>395</v>
      </c>
      <c r="CH167" s="5" t="s">
        <v>395</v>
      </c>
      <c r="CI167" s="5" t="s">
        <v>395</v>
      </c>
      <c r="CJ167" s="5" t="s">
        <v>395</v>
      </c>
      <c r="CK167" s="5" t="s">
        <v>395</v>
      </c>
      <c r="CL167" s="5" t="s">
        <v>395</v>
      </c>
      <c r="CM167" s="5" t="s">
        <v>395</v>
      </c>
      <c r="CN167" s="5" t="s">
        <v>395</v>
      </c>
      <c r="CO167" s="5" t="s">
        <v>395</v>
      </c>
      <c r="CP167" s="5" t="s">
        <v>395</v>
      </c>
      <c r="CQ167" s="5" t="s">
        <v>395</v>
      </c>
      <c r="CR167" s="5" t="s">
        <v>395</v>
      </c>
      <c r="CS167" s="5" t="s">
        <v>395</v>
      </c>
      <c r="CT167" s="5" t="s">
        <v>395</v>
      </c>
      <c r="CU167" s="5" t="s">
        <v>395</v>
      </c>
      <c r="CV167" s="5" t="s">
        <v>395</v>
      </c>
      <c r="CW167" s="5" t="s">
        <v>395</v>
      </c>
      <c r="CX167" s="5" t="s">
        <v>395</v>
      </c>
      <c r="CY167" s="252" t="s">
        <v>395</v>
      </c>
    </row>
    <row r="168" spans="1:103" x14ac:dyDescent="0.3">
      <c r="A168" s="98" t="s">
        <v>23</v>
      </c>
      <c r="B168" s="98" t="s">
        <v>115</v>
      </c>
      <c r="C168" s="132" t="s">
        <v>20</v>
      </c>
      <c r="D168" s="132" t="s">
        <v>124</v>
      </c>
      <c r="E168" s="98"/>
      <c r="F168" s="98"/>
      <c r="G168" s="245">
        <v>42298</v>
      </c>
      <c r="H168" s="1">
        <v>2015</v>
      </c>
      <c r="I168" s="75" t="s">
        <v>33</v>
      </c>
      <c r="J168" s="75">
        <v>10</v>
      </c>
      <c r="K168" s="155" t="s">
        <v>395</v>
      </c>
      <c r="L168" s="5" t="s">
        <v>395</v>
      </c>
      <c r="M168" s="5">
        <v>0.48</v>
      </c>
      <c r="N168" s="5">
        <v>2.2000000000000002</v>
      </c>
      <c r="O168" s="5">
        <v>5.3</v>
      </c>
      <c r="P168" s="5">
        <v>3.5</v>
      </c>
      <c r="Q168" s="5">
        <v>6.2</v>
      </c>
      <c r="R168" s="5">
        <v>5.9</v>
      </c>
      <c r="S168" s="5">
        <v>2.2999999999999998</v>
      </c>
      <c r="T168" s="5">
        <f t="shared" si="20"/>
        <v>25.88</v>
      </c>
      <c r="U168" s="5" t="s">
        <v>395</v>
      </c>
      <c r="V168" s="5" t="s">
        <v>76</v>
      </c>
      <c r="W168" s="5">
        <v>3.5999999999999997E-2</v>
      </c>
      <c r="X168" s="5" t="s">
        <v>66</v>
      </c>
      <c r="Y168" s="5">
        <v>3.9E-2</v>
      </c>
      <c r="Z168" s="5" t="s">
        <v>76</v>
      </c>
      <c r="AA168" s="5">
        <v>3.6999999999999998E-2</v>
      </c>
      <c r="AB168" s="5" t="s">
        <v>76</v>
      </c>
      <c r="AC168" s="5" t="s">
        <v>65</v>
      </c>
      <c r="AD168" s="5">
        <f t="shared" si="21"/>
        <v>0.11199999999999999</v>
      </c>
      <c r="AE168" s="5">
        <f t="shared" si="19"/>
        <v>0.11199999999999999</v>
      </c>
      <c r="AF168" s="5" t="s">
        <v>65</v>
      </c>
      <c r="AG168" s="250" t="s">
        <v>395</v>
      </c>
      <c r="AH168" s="250">
        <v>16.593638896896323</v>
      </c>
      <c r="AI168" s="5" t="s">
        <v>65</v>
      </c>
      <c r="AJ168" s="5" t="s">
        <v>65</v>
      </c>
      <c r="AK168" s="5" t="s">
        <v>56</v>
      </c>
      <c r="AL168" s="5" t="s">
        <v>65</v>
      </c>
      <c r="AM168" s="5" t="s">
        <v>65</v>
      </c>
      <c r="AN168" s="5">
        <v>0.87475016815604889</v>
      </c>
      <c r="AO168" s="5">
        <v>6.5580859037186495E-2</v>
      </c>
      <c r="AP168" s="5" t="s">
        <v>72</v>
      </c>
      <c r="AQ168" s="5">
        <v>0.80732679926972228</v>
      </c>
      <c r="AR168" s="5">
        <v>0.16503315076390893</v>
      </c>
      <c r="AS168" s="5" t="s">
        <v>395</v>
      </c>
      <c r="AT168" s="5" t="s">
        <v>395</v>
      </c>
      <c r="AU168" s="5" t="s">
        <v>395</v>
      </c>
      <c r="AV168" s="5" t="s">
        <v>395</v>
      </c>
      <c r="AW168" s="5" t="s">
        <v>395</v>
      </c>
      <c r="AX168" s="5" t="s">
        <v>395</v>
      </c>
      <c r="AY168" s="5" t="s">
        <v>395</v>
      </c>
      <c r="AZ168" s="5" t="s">
        <v>395</v>
      </c>
      <c r="BA168" s="5" t="s">
        <v>395</v>
      </c>
      <c r="BB168" s="5" t="s">
        <v>395</v>
      </c>
      <c r="BC168" s="5" t="s">
        <v>395</v>
      </c>
      <c r="BD168" s="5" t="s">
        <v>395</v>
      </c>
      <c r="BE168" s="5" t="s">
        <v>395</v>
      </c>
      <c r="BF168" s="5" t="s">
        <v>395</v>
      </c>
      <c r="BG168" s="5" t="s">
        <v>395</v>
      </c>
      <c r="BH168" s="5" t="s">
        <v>395</v>
      </c>
      <c r="BI168" s="5" t="s">
        <v>395</v>
      </c>
      <c r="BJ168" s="5" t="s">
        <v>395</v>
      </c>
      <c r="BK168" s="5" t="s">
        <v>395</v>
      </c>
      <c r="BL168" s="5" t="s">
        <v>395</v>
      </c>
      <c r="BM168" s="5" t="s">
        <v>395</v>
      </c>
      <c r="BN168" s="5">
        <v>520</v>
      </c>
      <c r="BO168" s="5" t="s">
        <v>395</v>
      </c>
      <c r="BP168" s="5" t="s">
        <v>395</v>
      </c>
      <c r="BQ168" s="5" t="s">
        <v>395</v>
      </c>
      <c r="BR168" s="5" t="s">
        <v>395</v>
      </c>
      <c r="BS168" s="5" t="s">
        <v>395</v>
      </c>
      <c r="BT168" s="5" t="s">
        <v>395</v>
      </c>
      <c r="BU168" s="5" t="s">
        <v>395</v>
      </c>
      <c r="BV168" s="5" t="s">
        <v>395</v>
      </c>
      <c r="BW168" s="5" t="s">
        <v>395</v>
      </c>
      <c r="BX168" s="5" t="s">
        <v>395</v>
      </c>
      <c r="BY168" s="5" t="s">
        <v>395</v>
      </c>
      <c r="BZ168" s="5" t="s">
        <v>395</v>
      </c>
      <c r="CA168" s="5" t="s">
        <v>395</v>
      </c>
      <c r="CB168" s="5" t="s">
        <v>395</v>
      </c>
      <c r="CC168" s="5" t="s">
        <v>395</v>
      </c>
      <c r="CD168" s="5" t="s">
        <v>395</v>
      </c>
      <c r="CE168" s="5" t="s">
        <v>395</v>
      </c>
      <c r="CF168" s="5" t="s">
        <v>395</v>
      </c>
      <c r="CG168" s="5" t="s">
        <v>395</v>
      </c>
      <c r="CH168" s="5" t="s">
        <v>395</v>
      </c>
      <c r="CI168" s="5" t="s">
        <v>395</v>
      </c>
      <c r="CJ168" s="5" t="s">
        <v>395</v>
      </c>
      <c r="CK168" s="5" t="s">
        <v>395</v>
      </c>
      <c r="CL168" s="5" t="s">
        <v>395</v>
      </c>
      <c r="CM168" s="5" t="s">
        <v>395</v>
      </c>
      <c r="CN168" s="5" t="s">
        <v>395</v>
      </c>
      <c r="CO168" s="5" t="s">
        <v>395</v>
      </c>
      <c r="CP168" s="5" t="s">
        <v>395</v>
      </c>
      <c r="CQ168" s="5" t="s">
        <v>395</v>
      </c>
      <c r="CR168" s="5" t="s">
        <v>395</v>
      </c>
      <c r="CS168" s="5" t="s">
        <v>395</v>
      </c>
      <c r="CT168" s="5" t="s">
        <v>395</v>
      </c>
      <c r="CU168" s="5" t="s">
        <v>395</v>
      </c>
      <c r="CV168" s="5" t="s">
        <v>395</v>
      </c>
      <c r="CW168" s="5" t="s">
        <v>395</v>
      </c>
      <c r="CX168" s="5" t="s">
        <v>395</v>
      </c>
      <c r="CY168" s="252" t="s">
        <v>395</v>
      </c>
    </row>
    <row r="169" spans="1:103" x14ac:dyDescent="0.3">
      <c r="A169" s="98" t="s">
        <v>23</v>
      </c>
      <c r="B169" s="98" t="s">
        <v>116</v>
      </c>
      <c r="C169" s="132" t="s">
        <v>20</v>
      </c>
      <c r="D169" s="132" t="s">
        <v>165</v>
      </c>
      <c r="E169" s="98"/>
      <c r="F169" s="98"/>
      <c r="G169" s="245">
        <v>42298</v>
      </c>
      <c r="H169" s="1">
        <v>2015</v>
      </c>
      <c r="I169" s="75" t="s">
        <v>33</v>
      </c>
      <c r="J169" s="75">
        <v>10</v>
      </c>
      <c r="K169" s="155" t="s">
        <v>395</v>
      </c>
      <c r="L169" s="5" t="s">
        <v>395</v>
      </c>
      <c r="M169" s="5">
        <v>0.35</v>
      </c>
      <c r="N169" s="5">
        <v>2</v>
      </c>
      <c r="O169" s="5">
        <v>5.9</v>
      </c>
      <c r="P169" s="5">
        <v>3.2</v>
      </c>
      <c r="Q169" s="5">
        <v>6.8</v>
      </c>
      <c r="R169" s="5">
        <v>5.8</v>
      </c>
      <c r="S169" s="5">
        <v>2.8</v>
      </c>
      <c r="T169" s="5">
        <f t="shared" si="20"/>
        <v>26.85</v>
      </c>
      <c r="U169" s="5" t="s">
        <v>395</v>
      </c>
      <c r="V169" s="5" t="s">
        <v>76</v>
      </c>
      <c r="W169" s="5">
        <v>5.2999999999999999E-2</v>
      </c>
      <c r="X169" s="5">
        <v>3.5000000000000003E-2</v>
      </c>
      <c r="Y169" s="5">
        <v>2.8000000000000001E-2</v>
      </c>
      <c r="Z169" s="5" t="s">
        <v>76</v>
      </c>
      <c r="AA169" s="5" t="s">
        <v>76</v>
      </c>
      <c r="AB169" s="5" t="s">
        <v>76</v>
      </c>
      <c r="AC169" s="5" t="s">
        <v>65</v>
      </c>
      <c r="AD169" s="5">
        <f t="shared" si="21"/>
        <v>0.11599999999999999</v>
      </c>
      <c r="AE169" s="5">
        <f t="shared" si="19"/>
        <v>0.11600000000000001</v>
      </c>
      <c r="AF169" s="5" t="s">
        <v>65</v>
      </c>
      <c r="AG169" s="250" t="s">
        <v>395</v>
      </c>
      <c r="AH169" s="250">
        <v>15.003734827264239</v>
      </c>
      <c r="AI169" s="5" t="s">
        <v>65</v>
      </c>
      <c r="AJ169" s="5" t="s">
        <v>65</v>
      </c>
      <c r="AK169" s="5" t="s">
        <v>56</v>
      </c>
      <c r="AL169" s="5" t="s">
        <v>65</v>
      </c>
      <c r="AM169" s="5" t="s">
        <v>65</v>
      </c>
      <c r="AN169" s="5">
        <v>1.0675560224089635</v>
      </c>
      <c r="AO169" s="5">
        <v>0.22432306255835666</v>
      </c>
      <c r="AP169" s="5" t="s">
        <v>72</v>
      </c>
      <c r="AQ169" s="5">
        <v>0.78075163398692815</v>
      </c>
      <c r="AR169" s="5">
        <v>0.12394957983193279</v>
      </c>
      <c r="AS169" s="5" t="s">
        <v>395</v>
      </c>
      <c r="AT169" s="5" t="s">
        <v>395</v>
      </c>
      <c r="AU169" s="5" t="s">
        <v>395</v>
      </c>
      <c r="AV169" s="5" t="s">
        <v>395</v>
      </c>
      <c r="AW169" s="5" t="s">
        <v>395</v>
      </c>
      <c r="AX169" s="5" t="s">
        <v>395</v>
      </c>
      <c r="AY169" s="5" t="s">
        <v>395</v>
      </c>
      <c r="AZ169" s="5" t="s">
        <v>395</v>
      </c>
      <c r="BA169" s="5" t="s">
        <v>395</v>
      </c>
      <c r="BB169" s="5" t="s">
        <v>395</v>
      </c>
      <c r="BC169" s="5">
        <v>140</v>
      </c>
      <c r="BD169" s="5" t="s">
        <v>65</v>
      </c>
      <c r="BE169" s="5" t="s">
        <v>65</v>
      </c>
      <c r="BF169" s="5">
        <v>0.1107142857142857</v>
      </c>
      <c r="BG169" s="5" t="s">
        <v>65</v>
      </c>
      <c r="BH169" s="5">
        <v>0.40404591836734693</v>
      </c>
      <c r="BI169" s="5">
        <v>4.6803112244897953</v>
      </c>
      <c r="BJ169" s="5">
        <v>1.7086734693877552</v>
      </c>
      <c r="BK169" s="5" t="s">
        <v>72</v>
      </c>
      <c r="BL169" s="5">
        <v>3.6187448979591839</v>
      </c>
      <c r="BM169" s="5">
        <v>0.4076530612244898</v>
      </c>
      <c r="BN169" s="5">
        <v>440</v>
      </c>
      <c r="BO169" s="5" t="s">
        <v>395</v>
      </c>
      <c r="BP169" s="5" t="s">
        <v>395</v>
      </c>
      <c r="BQ169" s="5" t="s">
        <v>395</v>
      </c>
      <c r="BR169" s="5" t="s">
        <v>395</v>
      </c>
      <c r="BS169" s="5" t="s">
        <v>395</v>
      </c>
      <c r="BT169" s="5" t="s">
        <v>395</v>
      </c>
      <c r="BU169" s="5" t="s">
        <v>395</v>
      </c>
      <c r="BV169" s="5" t="s">
        <v>395</v>
      </c>
      <c r="BW169" s="5" t="s">
        <v>395</v>
      </c>
      <c r="BX169" s="5" t="s">
        <v>395</v>
      </c>
      <c r="BY169" s="5" t="s">
        <v>395</v>
      </c>
      <c r="BZ169" s="5" t="s">
        <v>395</v>
      </c>
      <c r="CA169" s="5" t="s">
        <v>395</v>
      </c>
      <c r="CB169" s="5" t="s">
        <v>395</v>
      </c>
      <c r="CC169" s="5" t="s">
        <v>395</v>
      </c>
      <c r="CD169" s="5" t="s">
        <v>395</v>
      </c>
      <c r="CE169" s="5" t="s">
        <v>395</v>
      </c>
      <c r="CF169" s="5" t="s">
        <v>395</v>
      </c>
      <c r="CG169" s="5" t="s">
        <v>395</v>
      </c>
      <c r="CH169" s="5" t="s">
        <v>395</v>
      </c>
      <c r="CI169" s="5" t="s">
        <v>395</v>
      </c>
      <c r="CJ169" s="5" t="s">
        <v>395</v>
      </c>
      <c r="CK169" s="5" t="s">
        <v>395</v>
      </c>
      <c r="CL169" s="5" t="s">
        <v>395</v>
      </c>
      <c r="CM169" s="5" t="s">
        <v>395</v>
      </c>
      <c r="CN169" s="5" t="s">
        <v>395</v>
      </c>
      <c r="CO169" s="5" t="s">
        <v>395</v>
      </c>
      <c r="CP169" s="5" t="s">
        <v>395</v>
      </c>
      <c r="CQ169" s="5" t="s">
        <v>395</v>
      </c>
      <c r="CR169" s="5" t="s">
        <v>395</v>
      </c>
      <c r="CS169" s="5" t="s">
        <v>395</v>
      </c>
      <c r="CT169" s="5" t="s">
        <v>395</v>
      </c>
      <c r="CU169" s="5" t="s">
        <v>395</v>
      </c>
      <c r="CV169" s="5" t="s">
        <v>395</v>
      </c>
      <c r="CW169" s="5" t="s">
        <v>395</v>
      </c>
      <c r="CX169" s="5" t="s">
        <v>395</v>
      </c>
      <c r="CY169" s="252" t="s">
        <v>395</v>
      </c>
    </row>
    <row r="170" spans="1:103" x14ac:dyDescent="0.3">
      <c r="A170" s="98" t="s">
        <v>5</v>
      </c>
      <c r="B170" s="98" t="s">
        <v>5</v>
      </c>
      <c r="C170" s="132" t="s">
        <v>20</v>
      </c>
      <c r="D170" s="132"/>
      <c r="E170" s="98"/>
      <c r="F170" s="98"/>
      <c r="G170" s="245">
        <v>42264</v>
      </c>
      <c r="H170" s="1">
        <v>2015</v>
      </c>
      <c r="I170" s="75" t="s">
        <v>33</v>
      </c>
      <c r="J170" s="75">
        <v>10</v>
      </c>
      <c r="K170" s="155" t="s">
        <v>395</v>
      </c>
      <c r="L170" s="5" t="s">
        <v>395</v>
      </c>
      <c r="M170" s="5">
        <v>0.79</v>
      </c>
      <c r="N170" s="5">
        <v>1.8</v>
      </c>
      <c r="O170" s="5">
        <v>3.3</v>
      </c>
      <c r="P170" s="5">
        <v>2.5</v>
      </c>
      <c r="Q170" s="5">
        <v>3.6</v>
      </c>
      <c r="R170" s="5">
        <v>3.5</v>
      </c>
      <c r="S170" s="5">
        <v>1.4</v>
      </c>
      <c r="T170" s="5">
        <f t="shared" si="20"/>
        <v>16.89</v>
      </c>
      <c r="U170" s="5" t="s">
        <v>395</v>
      </c>
      <c r="V170" s="5" t="s">
        <v>78</v>
      </c>
      <c r="W170" s="5">
        <v>0.14000000000000001</v>
      </c>
      <c r="X170" s="5">
        <v>6.9000000000000006E-2</v>
      </c>
      <c r="Y170" s="5">
        <v>0.14000000000000001</v>
      </c>
      <c r="Z170" s="5" t="s">
        <v>78</v>
      </c>
      <c r="AA170" s="5">
        <v>4.1000000000000002E-2</v>
      </c>
      <c r="AB170" s="5" t="s">
        <v>78</v>
      </c>
      <c r="AC170" s="5" t="s">
        <v>65</v>
      </c>
      <c r="AD170" s="5">
        <f t="shared" si="21"/>
        <v>0.39</v>
      </c>
      <c r="AE170" s="5">
        <f t="shared" si="19"/>
        <v>0.39</v>
      </c>
      <c r="AF170" s="5" t="s">
        <v>65</v>
      </c>
      <c r="AG170" s="250" t="s">
        <v>395</v>
      </c>
      <c r="AH170" s="250">
        <v>14.906136455389584</v>
      </c>
      <c r="AI170" s="5" t="s">
        <v>65</v>
      </c>
      <c r="AJ170" s="5" t="s">
        <v>65</v>
      </c>
      <c r="AK170" s="5" t="s">
        <v>56</v>
      </c>
      <c r="AL170" s="5" t="s">
        <v>65</v>
      </c>
      <c r="AM170" s="5" t="s">
        <v>65</v>
      </c>
      <c r="AN170" s="5">
        <v>0.44545064594267264</v>
      </c>
      <c r="AO170" s="5">
        <v>0.2152301170771094</v>
      </c>
      <c r="AP170" s="5" t="s">
        <v>72</v>
      </c>
      <c r="AQ170" s="5">
        <v>0.41399374243035925</v>
      </c>
      <c r="AR170" s="5">
        <v>8.8564796124343967E-2</v>
      </c>
      <c r="AS170" s="5" t="s">
        <v>395</v>
      </c>
      <c r="AT170" s="5" t="s">
        <v>395</v>
      </c>
      <c r="AU170" s="5" t="s">
        <v>395</v>
      </c>
      <c r="AV170" s="5" t="s">
        <v>395</v>
      </c>
      <c r="AW170" s="5" t="s">
        <v>395</v>
      </c>
      <c r="AX170" s="5" t="s">
        <v>395</v>
      </c>
      <c r="AY170" s="5" t="s">
        <v>395</v>
      </c>
      <c r="AZ170" s="5" t="s">
        <v>395</v>
      </c>
      <c r="BA170" s="5" t="s">
        <v>395</v>
      </c>
      <c r="BB170" s="5" t="s">
        <v>395</v>
      </c>
      <c r="BC170" s="5">
        <v>210</v>
      </c>
      <c r="BD170" s="5" t="s">
        <v>65</v>
      </c>
      <c r="BE170" s="5" t="s">
        <v>65</v>
      </c>
      <c r="BF170" s="5">
        <v>0.19270087916581477</v>
      </c>
      <c r="BG170" s="5" t="s">
        <v>65</v>
      </c>
      <c r="BH170" s="5">
        <v>0.40683398078102639</v>
      </c>
      <c r="BI170" s="5">
        <v>6.4677008791658146</v>
      </c>
      <c r="BJ170" s="5">
        <v>3.9404007360457989</v>
      </c>
      <c r="BK170" s="5" t="s">
        <v>72</v>
      </c>
      <c r="BL170" s="5">
        <v>6.2220098139439788</v>
      </c>
      <c r="BM170" s="5">
        <v>0.80300552034348804</v>
      </c>
      <c r="BN170" s="5">
        <v>71</v>
      </c>
      <c r="BO170" s="5" t="s">
        <v>395</v>
      </c>
      <c r="BP170" s="5" t="s">
        <v>395</v>
      </c>
      <c r="BQ170" s="5" t="s">
        <v>395</v>
      </c>
      <c r="BR170" s="5" t="s">
        <v>395</v>
      </c>
      <c r="BS170" s="5" t="s">
        <v>395</v>
      </c>
      <c r="BT170" s="5" t="s">
        <v>395</v>
      </c>
      <c r="BU170" s="5" t="s">
        <v>395</v>
      </c>
      <c r="BV170" s="5" t="s">
        <v>395</v>
      </c>
      <c r="BW170" s="5" t="s">
        <v>395</v>
      </c>
      <c r="BX170" s="5" t="s">
        <v>395</v>
      </c>
      <c r="BY170" s="5" t="s">
        <v>395</v>
      </c>
      <c r="BZ170" s="5" t="s">
        <v>395</v>
      </c>
      <c r="CA170" s="5" t="s">
        <v>395</v>
      </c>
      <c r="CB170" s="5" t="s">
        <v>395</v>
      </c>
      <c r="CC170" s="5" t="s">
        <v>395</v>
      </c>
      <c r="CD170" s="5" t="s">
        <v>395</v>
      </c>
      <c r="CE170" s="5" t="s">
        <v>395</v>
      </c>
      <c r="CF170" s="5" t="s">
        <v>395</v>
      </c>
      <c r="CG170" s="5" t="s">
        <v>395</v>
      </c>
      <c r="CH170" s="5" t="s">
        <v>395</v>
      </c>
      <c r="CI170" s="5" t="s">
        <v>395</v>
      </c>
      <c r="CJ170" s="5" t="s">
        <v>395</v>
      </c>
      <c r="CK170" s="5" t="s">
        <v>395</v>
      </c>
      <c r="CL170" s="5" t="s">
        <v>395</v>
      </c>
      <c r="CM170" s="5" t="s">
        <v>395</v>
      </c>
      <c r="CN170" s="5" t="s">
        <v>395</v>
      </c>
      <c r="CO170" s="5" t="s">
        <v>395</v>
      </c>
      <c r="CP170" s="5" t="s">
        <v>395</v>
      </c>
      <c r="CQ170" s="5" t="s">
        <v>395</v>
      </c>
      <c r="CR170" s="5" t="s">
        <v>395</v>
      </c>
      <c r="CS170" s="5" t="s">
        <v>395</v>
      </c>
      <c r="CT170" s="5" t="s">
        <v>395</v>
      </c>
      <c r="CU170" s="5" t="s">
        <v>395</v>
      </c>
      <c r="CV170" s="5" t="s">
        <v>395</v>
      </c>
      <c r="CW170" s="5" t="s">
        <v>395</v>
      </c>
      <c r="CX170" s="5" t="s">
        <v>395</v>
      </c>
      <c r="CY170" s="252" t="s">
        <v>395</v>
      </c>
    </row>
    <row r="171" spans="1:103" x14ac:dyDescent="0.3">
      <c r="A171" s="98" t="s">
        <v>25</v>
      </c>
      <c r="B171" s="98" t="s">
        <v>25</v>
      </c>
      <c r="C171" s="132" t="s">
        <v>20</v>
      </c>
      <c r="D171" s="132"/>
      <c r="E171" s="98"/>
      <c r="F171" s="98"/>
      <c r="G171" s="245">
        <v>42264</v>
      </c>
      <c r="H171" s="1">
        <v>2015</v>
      </c>
      <c r="I171" s="75" t="s">
        <v>33</v>
      </c>
      <c r="J171" s="75">
        <v>10</v>
      </c>
      <c r="K171" s="155" t="s">
        <v>395</v>
      </c>
      <c r="L171" s="5" t="s">
        <v>395</v>
      </c>
      <c r="M171" s="5" t="s">
        <v>39</v>
      </c>
      <c r="N171" s="5">
        <v>0.15</v>
      </c>
      <c r="O171" s="5">
        <v>0.86</v>
      </c>
      <c r="P171" s="5">
        <v>0.66</v>
      </c>
      <c r="Q171" s="5">
        <v>2.7</v>
      </c>
      <c r="R171" s="5">
        <v>2</v>
      </c>
      <c r="S171" s="5">
        <v>1.1000000000000001</v>
      </c>
      <c r="T171" s="5">
        <f t="shared" si="20"/>
        <v>7.4700000000000006</v>
      </c>
      <c r="U171" s="5" t="s">
        <v>395</v>
      </c>
      <c r="V171" s="5" t="s">
        <v>78</v>
      </c>
      <c r="W171" s="5">
        <v>0.11</v>
      </c>
      <c r="X171" s="5">
        <v>6.9000000000000006E-2</v>
      </c>
      <c r="Y171" s="5">
        <v>0.13</v>
      </c>
      <c r="Z171" s="5" t="s">
        <v>78</v>
      </c>
      <c r="AA171" s="5">
        <v>4.9000000000000002E-2</v>
      </c>
      <c r="AB171" s="5" t="s">
        <v>78</v>
      </c>
      <c r="AC171" s="5" t="s">
        <v>65</v>
      </c>
      <c r="AD171" s="5">
        <f t="shared" si="21"/>
        <v>0.35799999999999998</v>
      </c>
      <c r="AE171" s="5">
        <f t="shared" si="19"/>
        <v>0.35799999999999998</v>
      </c>
      <c r="AF171" s="5" t="s">
        <v>65</v>
      </c>
      <c r="AG171" s="250" t="s">
        <v>395</v>
      </c>
      <c r="AH171" s="250">
        <v>51.028662420382162</v>
      </c>
      <c r="AI171" s="5" t="s">
        <v>65</v>
      </c>
      <c r="AJ171" s="5" t="s">
        <v>65</v>
      </c>
      <c r="AK171" s="5" t="s">
        <v>56</v>
      </c>
      <c r="AL171" s="5" t="s">
        <v>65</v>
      </c>
      <c r="AM171" s="5" t="s">
        <v>65</v>
      </c>
      <c r="AN171" s="5">
        <v>1.7126884288747348</v>
      </c>
      <c r="AO171" s="5">
        <v>0.62234607218683646</v>
      </c>
      <c r="AP171" s="5" t="s">
        <v>72</v>
      </c>
      <c r="AQ171" s="5">
        <v>0.82079087048832278</v>
      </c>
      <c r="AR171" s="5">
        <v>9.3152866242038238E-2</v>
      </c>
      <c r="AS171" s="5" t="s">
        <v>395</v>
      </c>
      <c r="AT171" s="5" t="s">
        <v>395</v>
      </c>
      <c r="AU171" s="5" t="s">
        <v>395</v>
      </c>
      <c r="AV171" s="5" t="s">
        <v>395</v>
      </c>
      <c r="AW171" s="5" t="s">
        <v>395</v>
      </c>
      <c r="AX171" s="5" t="s">
        <v>395</v>
      </c>
      <c r="AY171" s="5" t="s">
        <v>395</v>
      </c>
      <c r="AZ171" s="5" t="s">
        <v>395</v>
      </c>
      <c r="BA171" s="5" t="s">
        <v>395</v>
      </c>
      <c r="BB171" s="5" t="s">
        <v>395</v>
      </c>
      <c r="BC171" s="5">
        <v>750</v>
      </c>
      <c r="BD171" s="5" t="s">
        <v>65</v>
      </c>
      <c r="BE171" s="5" t="s">
        <v>65</v>
      </c>
      <c r="BF171" s="5">
        <v>0.52939441604404236</v>
      </c>
      <c r="BG171" s="5" t="s">
        <v>65</v>
      </c>
      <c r="BH171" s="5">
        <v>0.46398446716476593</v>
      </c>
      <c r="BI171" s="5">
        <v>22.008164569406212</v>
      </c>
      <c r="BJ171" s="5">
        <v>11.398446716476601</v>
      </c>
      <c r="BK171" s="5" t="s">
        <v>72</v>
      </c>
      <c r="BL171" s="5">
        <v>9.9354797483287438</v>
      </c>
      <c r="BM171" s="5">
        <v>0.60312622886354694</v>
      </c>
      <c r="BN171" s="5">
        <v>140</v>
      </c>
      <c r="BO171" s="5" t="s">
        <v>395</v>
      </c>
      <c r="BP171" s="5" t="s">
        <v>395</v>
      </c>
      <c r="BQ171" s="5" t="s">
        <v>395</v>
      </c>
      <c r="BR171" s="5" t="s">
        <v>395</v>
      </c>
      <c r="BS171" s="5" t="s">
        <v>395</v>
      </c>
      <c r="BT171" s="5" t="s">
        <v>395</v>
      </c>
      <c r="BU171" s="5" t="s">
        <v>395</v>
      </c>
      <c r="BV171" s="5" t="s">
        <v>395</v>
      </c>
      <c r="BW171" s="5" t="s">
        <v>395</v>
      </c>
      <c r="BX171" s="5" t="s">
        <v>395</v>
      </c>
      <c r="BY171" s="5" t="s">
        <v>395</v>
      </c>
      <c r="BZ171" s="5" t="s">
        <v>395</v>
      </c>
      <c r="CA171" s="5" t="s">
        <v>395</v>
      </c>
      <c r="CB171" s="5" t="s">
        <v>395</v>
      </c>
      <c r="CC171" s="5" t="s">
        <v>395</v>
      </c>
      <c r="CD171" s="5" t="s">
        <v>395</v>
      </c>
      <c r="CE171" s="5" t="s">
        <v>395</v>
      </c>
      <c r="CF171" s="5" t="s">
        <v>395</v>
      </c>
      <c r="CG171" s="5" t="s">
        <v>395</v>
      </c>
      <c r="CH171" s="5" t="s">
        <v>395</v>
      </c>
      <c r="CI171" s="5" t="s">
        <v>395</v>
      </c>
      <c r="CJ171" s="5" t="s">
        <v>395</v>
      </c>
      <c r="CK171" s="5" t="s">
        <v>395</v>
      </c>
      <c r="CL171" s="5" t="s">
        <v>395</v>
      </c>
      <c r="CM171" s="5" t="s">
        <v>395</v>
      </c>
      <c r="CN171" s="5" t="s">
        <v>395</v>
      </c>
      <c r="CO171" s="5" t="s">
        <v>395</v>
      </c>
      <c r="CP171" s="5" t="s">
        <v>395</v>
      </c>
      <c r="CQ171" s="5" t="s">
        <v>395</v>
      </c>
      <c r="CR171" s="5" t="s">
        <v>395</v>
      </c>
      <c r="CS171" s="5" t="s">
        <v>395</v>
      </c>
      <c r="CT171" s="5" t="s">
        <v>395</v>
      </c>
      <c r="CU171" s="5" t="s">
        <v>395</v>
      </c>
      <c r="CV171" s="5" t="s">
        <v>395</v>
      </c>
      <c r="CW171" s="5" t="s">
        <v>395</v>
      </c>
      <c r="CX171" s="5" t="s">
        <v>395</v>
      </c>
      <c r="CY171" s="252" t="s">
        <v>395</v>
      </c>
    </row>
    <row r="172" spans="1:103" x14ac:dyDescent="0.3">
      <c r="A172" s="98" t="s">
        <v>26</v>
      </c>
      <c r="B172" s="98" t="s">
        <v>26</v>
      </c>
      <c r="C172" s="132" t="s">
        <v>20</v>
      </c>
      <c r="D172" s="132"/>
      <c r="E172" s="98"/>
      <c r="F172" s="98"/>
      <c r="G172" s="245">
        <v>42264</v>
      </c>
      <c r="H172" s="1">
        <v>2015</v>
      </c>
      <c r="I172" s="75" t="s">
        <v>33</v>
      </c>
      <c r="J172" s="75">
        <v>10</v>
      </c>
      <c r="K172" s="155" t="s">
        <v>395</v>
      </c>
      <c r="L172" s="5" t="s">
        <v>395</v>
      </c>
      <c r="M172" s="5" t="s">
        <v>39</v>
      </c>
      <c r="N172" s="5">
        <v>0.05</v>
      </c>
      <c r="O172" s="5">
        <v>0.34</v>
      </c>
      <c r="P172" s="5">
        <v>0.31</v>
      </c>
      <c r="Q172" s="5">
        <v>0.98</v>
      </c>
      <c r="R172" s="5">
        <v>0.83</v>
      </c>
      <c r="S172" s="5">
        <v>0.56000000000000005</v>
      </c>
      <c r="T172" s="5">
        <f t="shared" si="20"/>
        <v>3.07</v>
      </c>
      <c r="U172" s="5" t="s">
        <v>395</v>
      </c>
      <c r="V172" s="5" t="s">
        <v>77</v>
      </c>
      <c r="W172" s="5">
        <v>2.1000000000000001E-2</v>
      </c>
      <c r="X172" s="5" t="s">
        <v>66</v>
      </c>
      <c r="Y172" s="5">
        <v>3.7000000000000005E-2</v>
      </c>
      <c r="Z172" s="5" t="s">
        <v>77</v>
      </c>
      <c r="AA172" s="5" t="s">
        <v>77</v>
      </c>
      <c r="AB172" s="5" t="s">
        <v>77</v>
      </c>
      <c r="AC172" s="5" t="s">
        <v>65</v>
      </c>
      <c r="AD172" s="5">
        <f t="shared" si="21"/>
        <v>5.800000000000001E-2</v>
      </c>
      <c r="AE172" s="5">
        <f t="shared" si="19"/>
        <v>5.800000000000001E-2</v>
      </c>
      <c r="AF172" s="5" t="s">
        <v>65</v>
      </c>
      <c r="AG172" s="250" t="s">
        <v>395</v>
      </c>
      <c r="AH172" s="250">
        <v>5.1376970664538018</v>
      </c>
      <c r="AI172" s="5" t="s">
        <v>65</v>
      </c>
      <c r="AJ172" s="5" t="s">
        <v>65</v>
      </c>
      <c r="AK172" s="5" t="s">
        <v>56</v>
      </c>
      <c r="AL172" s="5" t="s">
        <v>65</v>
      </c>
      <c r="AM172" s="5">
        <v>0.13069497106365996</v>
      </c>
      <c r="AN172" s="5">
        <v>0.43040560766314112</v>
      </c>
      <c r="AO172" s="5">
        <v>0.12796846936739173</v>
      </c>
      <c r="AP172" s="5" t="s">
        <v>72</v>
      </c>
      <c r="AQ172" s="5">
        <v>0.28156555577728992</v>
      </c>
      <c r="AR172" s="5" t="s">
        <v>56</v>
      </c>
      <c r="AS172" s="5" t="s">
        <v>395</v>
      </c>
      <c r="AT172" s="5" t="s">
        <v>395</v>
      </c>
      <c r="AU172" s="5" t="s">
        <v>395</v>
      </c>
      <c r="AV172" s="5" t="s">
        <v>395</v>
      </c>
      <c r="AW172" s="5" t="s">
        <v>395</v>
      </c>
      <c r="AX172" s="5" t="s">
        <v>395</v>
      </c>
      <c r="AY172" s="5" t="s">
        <v>395</v>
      </c>
      <c r="AZ172" s="5" t="s">
        <v>395</v>
      </c>
      <c r="BA172" s="5" t="s">
        <v>395</v>
      </c>
      <c r="BB172" s="5" t="s">
        <v>395</v>
      </c>
      <c r="BC172" s="5">
        <v>65.723857868020303</v>
      </c>
      <c r="BD172" s="5" t="s">
        <v>65</v>
      </c>
      <c r="BE172" s="5" t="s">
        <v>65</v>
      </c>
      <c r="BF172" s="5">
        <v>0.12842639593908631</v>
      </c>
      <c r="BG172" s="5" t="s">
        <v>65</v>
      </c>
      <c r="BH172" s="5">
        <v>1.2263604060913704</v>
      </c>
      <c r="BI172" s="5">
        <v>4.2301573604060909</v>
      </c>
      <c r="BJ172" s="5">
        <v>0.41472081218274109</v>
      </c>
      <c r="BK172" s="5">
        <v>0.4223350253807106</v>
      </c>
      <c r="BL172" s="5">
        <v>2.2602741116751273</v>
      </c>
      <c r="BM172" s="5">
        <v>9.4111675126903563E-2</v>
      </c>
      <c r="BN172" s="5">
        <v>45</v>
      </c>
      <c r="BO172" s="5" t="s">
        <v>395</v>
      </c>
      <c r="BP172" s="5" t="s">
        <v>395</v>
      </c>
      <c r="BQ172" s="5" t="s">
        <v>395</v>
      </c>
      <c r="BR172" s="5" t="s">
        <v>395</v>
      </c>
      <c r="BS172" s="5" t="s">
        <v>395</v>
      </c>
      <c r="BT172" s="5" t="s">
        <v>395</v>
      </c>
      <c r="BU172" s="5" t="s">
        <v>395</v>
      </c>
      <c r="BV172" s="5" t="s">
        <v>395</v>
      </c>
      <c r="BW172" s="5" t="s">
        <v>395</v>
      </c>
      <c r="BX172" s="5" t="s">
        <v>395</v>
      </c>
      <c r="BY172" s="5" t="s">
        <v>395</v>
      </c>
      <c r="BZ172" s="5" t="s">
        <v>395</v>
      </c>
      <c r="CA172" s="5" t="s">
        <v>395</v>
      </c>
      <c r="CB172" s="5" t="s">
        <v>395</v>
      </c>
      <c r="CC172" s="5" t="s">
        <v>395</v>
      </c>
      <c r="CD172" s="5" t="s">
        <v>395</v>
      </c>
      <c r="CE172" s="5" t="s">
        <v>395</v>
      </c>
      <c r="CF172" s="5" t="s">
        <v>395</v>
      </c>
      <c r="CG172" s="5" t="s">
        <v>395</v>
      </c>
      <c r="CH172" s="5" t="s">
        <v>395</v>
      </c>
      <c r="CI172" s="5" t="s">
        <v>395</v>
      </c>
      <c r="CJ172" s="5" t="s">
        <v>395</v>
      </c>
      <c r="CK172" s="5" t="s">
        <v>395</v>
      </c>
      <c r="CL172" s="5" t="s">
        <v>395</v>
      </c>
      <c r="CM172" s="5" t="s">
        <v>395</v>
      </c>
      <c r="CN172" s="5" t="s">
        <v>395</v>
      </c>
      <c r="CO172" s="5" t="s">
        <v>395</v>
      </c>
      <c r="CP172" s="5" t="s">
        <v>395</v>
      </c>
      <c r="CQ172" s="5" t="s">
        <v>395</v>
      </c>
      <c r="CR172" s="5" t="s">
        <v>395</v>
      </c>
      <c r="CS172" s="5" t="s">
        <v>395</v>
      </c>
      <c r="CT172" s="5" t="s">
        <v>395</v>
      </c>
      <c r="CU172" s="5" t="s">
        <v>395</v>
      </c>
      <c r="CV172" s="5" t="s">
        <v>395</v>
      </c>
      <c r="CW172" s="5" t="s">
        <v>395</v>
      </c>
      <c r="CX172" s="5" t="s">
        <v>395</v>
      </c>
      <c r="CY172" s="252" t="s">
        <v>395</v>
      </c>
    </row>
    <row r="173" spans="1:103" x14ac:dyDescent="0.3">
      <c r="A173" s="98" t="s">
        <v>81</v>
      </c>
      <c r="B173" s="98" t="s">
        <v>81</v>
      </c>
      <c r="C173" s="132" t="s">
        <v>20</v>
      </c>
      <c r="D173" s="132"/>
      <c r="E173" s="98"/>
      <c r="F173" s="98"/>
      <c r="G173" s="245">
        <v>42264</v>
      </c>
      <c r="H173" s="1">
        <v>2015</v>
      </c>
      <c r="I173" s="75" t="s">
        <v>33</v>
      </c>
      <c r="J173" s="75">
        <v>10</v>
      </c>
      <c r="K173" s="155" t="s">
        <v>395</v>
      </c>
      <c r="L173" s="5" t="s">
        <v>395</v>
      </c>
      <c r="M173" s="5" t="s">
        <v>39</v>
      </c>
      <c r="N173" s="5">
        <v>0.17</v>
      </c>
      <c r="O173" s="5">
        <v>0.4</v>
      </c>
      <c r="P173" s="5">
        <v>0.24</v>
      </c>
      <c r="Q173" s="5">
        <v>0.63</v>
      </c>
      <c r="R173" s="5">
        <v>0.6</v>
      </c>
      <c r="S173" s="5">
        <v>0.32</v>
      </c>
      <c r="T173" s="5">
        <f t="shared" si="20"/>
        <v>2.36</v>
      </c>
      <c r="U173" s="5" t="s">
        <v>395</v>
      </c>
      <c r="V173" s="5" t="s">
        <v>78</v>
      </c>
      <c r="W173" s="5">
        <v>6.9000000000000006E-2</v>
      </c>
      <c r="X173" s="5" t="s">
        <v>56</v>
      </c>
      <c r="Y173" s="5">
        <v>7.0000000000000007E-2</v>
      </c>
      <c r="Z173" s="5" t="s">
        <v>78</v>
      </c>
      <c r="AA173" s="5">
        <v>3.1E-2</v>
      </c>
      <c r="AB173" s="5" t="s">
        <v>78</v>
      </c>
      <c r="AC173" s="5" t="s">
        <v>65</v>
      </c>
      <c r="AD173" s="5">
        <f t="shared" si="21"/>
        <v>0.17</v>
      </c>
      <c r="AE173" s="5">
        <f>SUM(V173,W173,Y173,X173,AB173,AA173)</f>
        <v>0.17</v>
      </c>
      <c r="AF173" s="5" t="s">
        <v>65</v>
      </c>
      <c r="AG173" s="250" t="s">
        <v>395</v>
      </c>
      <c r="AH173" s="250">
        <v>8.8438274665344583</v>
      </c>
      <c r="AI173" s="5" t="s">
        <v>65</v>
      </c>
      <c r="AJ173" s="5" t="s">
        <v>65</v>
      </c>
      <c r="AK173" s="5" t="s">
        <v>56</v>
      </c>
      <c r="AL173" s="5" t="s">
        <v>65</v>
      </c>
      <c r="AM173" s="5" t="s">
        <v>65</v>
      </c>
      <c r="AN173" s="5">
        <v>0.9205280118988598</v>
      </c>
      <c r="AO173" s="5">
        <v>1.0483391175012395</v>
      </c>
      <c r="AP173" s="5" t="s">
        <v>72</v>
      </c>
      <c r="AQ173" s="5">
        <v>0.96200793257312844</v>
      </c>
      <c r="AR173" s="5">
        <v>0.32994546355974219</v>
      </c>
      <c r="AS173" s="5" t="s">
        <v>395</v>
      </c>
      <c r="AT173" s="5" t="s">
        <v>395</v>
      </c>
      <c r="AU173" s="5" t="s">
        <v>395</v>
      </c>
      <c r="AV173" s="5" t="s">
        <v>395</v>
      </c>
      <c r="AW173" s="5" t="s">
        <v>395</v>
      </c>
      <c r="AX173" s="5" t="s">
        <v>395</v>
      </c>
      <c r="AY173" s="5" t="s">
        <v>395</v>
      </c>
      <c r="AZ173" s="5" t="s">
        <v>395</v>
      </c>
      <c r="BA173" s="5" t="s">
        <v>395</v>
      </c>
      <c r="BB173" s="5" t="s">
        <v>395</v>
      </c>
      <c r="BC173" s="5">
        <v>99.011305241521072</v>
      </c>
      <c r="BD173" s="5" t="s">
        <v>65</v>
      </c>
      <c r="BE173" s="5" t="s">
        <v>65</v>
      </c>
      <c r="BF173" s="5">
        <v>0.236896197327852</v>
      </c>
      <c r="BG173" s="5" t="s">
        <v>65</v>
      </c>
      <c r="BH173" s="5">
        <v>0.24045734840698868</v>
      </c>
      <c r="BI173" s="5">
        <v>9.7499537512846874</v>
      </c>
      <c r="BJ173" s="5">
        <v>13.005652620760536</v>
      </c>
      <c r="BK173" s="5" t="s">
        <v>72</v>
      </c>
      <c r="BL173" s="5">
        <v>9.6468345323741023</v>
      </c>
      <c r="BM173" s="5">
        <v>3.2697841726618706</v>
      </c>
      <c r="BN173" s="5">
        <v>27</v>
      </c>
      <c r="BO173" s="5" t="s">
        <v>395</v>
      </c>
      <c r="BP173" s="5" t="s">
        <v>395</v>
      </c>
      <c r="BQ173" s="5" t="s">
        <v>395</v>
      </c>
      <c r="BR173" s="5" t="s">
        <v>395</v>
      </c>
      <c r="BS173" s="5" t="s">
        <v>395</v>
      </c>
      <c r="BT173" s="5" t="s">
        <v>395</v>
      </c>
      <c r="BU173" s="5" t="s">
        <v>395</v>
      </c>
      <c r="BV173" s="5" t="s">
        <v>395</v>
      </c>
      <c r="BW173" s="5" t="s">
        <v>395</v>
      </c>
      <c r="BX173" s="5" t="s">
        <v>395</v>
      </c>
      <c r="BY173" s="5" t="s">
        <v>395</v>
      </c>
      <c r="BZ173" s="5" t="s">
        <v>395</v>
      </c>
      <c r="CA173" s="5" t="s">
        <v>395</v>
      </c>
      <c r="CB173" s="5" t="s">
        <v>395</v>
      </c>
      <c r="CC173" s="5" t="s">
        <v>395</v>
      </c>
      <c r="CD173" s="5" t="s">
        <v>395</v>
      </c>
      <c r="CE173" s="5" t="s">
        <v>395</v>
      </c>
      <c r="CF173" s="5" t="s">
        <v>395</v>
      </c>
      <c r="CG173" s="5" t="s">
        <v>395</v>
      </c>
      <c r="CH173" s="5" t="s">
        <v>395</v>
      </c>
      <c r="CI173" s="5" t="s">
        <v>395</v>
      </c>
      <c r="CJ173" s="5" t="s">
        <v>395</v>
      </c>
      <c r="CK173" s="5" t="s">
        <v>395</v>
      </c>
      <c r="CL173" s="5" t="s">
        <v>395</v>
      </c>
      <c r="CM173" s="5" t="s">
        <v>395</v>
      </c>
      <c r="CN173" s="5" t="s">
        <v>395</v>
      </c>
      <c r="CO173" s="5" t="s">
        <v>395</v>
      </c>
      <c r="CP173" s="5" t="s">
        <v>395</v>
      </c>
      <c r="CQ173" s="5" t="s">
        <v>395</v>
      </c>
      <c r="CR173" s="5" t="s">
        <v>395</v>
      </c>
      <c r="CS173" s="5" t="s">
        <v>395</v>
      </c>
      <c r="CT173" s="5" t="s">
        <v>395</v>
      </c>
      <c r="CU173" s="5" t="s">
        <v>395</v>
      </c>
      <c r="CV173" s="5" t="s">
        <v>395</v>
      </c>
      <c r="CW173" s="5" t="s">
        <v>395</v>
      </c>
      <c r="CX173" s="5" t="s">
        <v>395</v>
      </c>
      <c r="CY173" s="252" t="s">
        <v>395</v>
      </c>
    </row>
    <row r="174" spans="1:103" x14ac:dyDescent="0.3">
      <c r="A174" s="98" t="s">
        <v>6</v>
      </c>
      <c r="B174" s="98" t="s">
        <v>6</v>
      </c>
      <c r="C174" s="132" t="s">
        <v>20</v>
      </c>
      <c r="D174" s="132"/>
      <c r="E174" s="98"/>
      <c r="F174" s="98"/>
      <c r="G174" s="245">
        <v>42256</v>
      </c>
      <c r="H174" s="1">
        <v>2015</v>
      </c>
      <c r="I174" s="75" t="s">
        <v>33</v>
      </c>
      <c r="J174" s="75">
        <v>10</v>
      </c>
      <c r="K174" s="155" t="s">
        <v>395</v>
      </c>
      <c r="L174" s="5" t="s">
        <v>395</v>
      </c>
      <c r="M174" s="5">
        <v>9.4E-2</v>
      </c>
      <c r="N174" s="5">
        <v>0.47</v>
      </c>
      <c r="O174" s="5">
        <v>2.5</v>
      </c>
      <c r="P174" s="5">
        <v>1.8</v>
      </c>
      <c r="Q174" s="5">
        <v>5.3</v>
      </c>
      <c r="R174" s="5">
        <v>4</v>
      </c>
      <c r="S174" s="5">
        <v>2</v>
      </c>
      <c r="T174" s="5">
        <f t="shared" si="20"/>
        <v>16.164000000000001</v>
      </c>
      <c r="U174" s="5" t="s">
        <v>395</v>
      </c>
      <c r="V174" s="5" t="s">
        <v>76</v>
      </c>
      <c r="W174" s="5">
        <v>0.32</v>
      </c>
      <c r="X174" s="5">
        <v>9.2999999999999999E-2</v>
      </c>
      <c r="Y174" s="5">
        <v>0.17</v>
      </c>
      <c r="Z174" s="5" t="s">
        <v>76</v>
      </c>
      <c r="AA174" s="5">
        <v>5.6000000000000001E-2</v>
      </c>
      <c r="AB174" s="5">
        <v>2.7E-2</v>
      </c>
      <c r="AC174" s="5" t="s">
        <v>65</v>
      </c>
      <c r="AD174" s="5">
        <f t="shared" si="21"/>
        <v>0.66600000000000015</v>
      </c>
      <c r="AE174" s="5">
        <f t="shared" si="19"/>
        <v>0.66600000000000004</v>
      </c>
      <c r="AF174" s="5" t="s">
        <v>65</v>
      </c>
      <c r="AG174" s="250" t="s">
        <v>395</v>
      </c>
      <c r="AH174" s="250">
        <v>5.6907989616383032</v>
      </c>
      <c r="AI174" s="5" t="s">
        <v>65</v>
      </c>
      <c r="AJ174" s="5" t="s">
        <v>65</v>
      </c>
      <c r="AK174" s="5" t="s">
        <v>56</v>
      </c>
      <c r="AL174" s="5" t="s">
        <v>65</v>
      </c>
      <c r="AM174" s="5" t="s">
        <v>65</v>
      </c>
      <c r="AN174" s="5">
        <v>0.52913421786366699</v>
      </c>
      <c r="AO174" s="5">
        <v>0.16849341409479854</v>
      </c>
      <c r="AP174" s="5" t="s">
        <v>72</v>
      </c>
      <c r="AQ174" s="5">
        <v>0.2664984136140755</v>
      </c>
      <c r="AR174" s="5">
        <v>3.4948562638207871E-2</v>
      </c>
      <c r="AS174" s="5" t="s">
        <v>395</v>
      </c>
      <c r="AT174" s="5" t="s">
        <v>395</v>
      </c>
      <c r="AU174" s="5" t="s">
        <v>395</v>
      </c>
      <c r="AV174" s="5" t="s">
        <v>395</v>
      </c>
      <c r="AW174" s="5" t="s">
        <v>395</v>
      </c>
      <c r="AX174" s="5" t="s">
        <v>395</v>
      </c>
      <c r="AY174" s="5" t="s">
        <v>395</v>
      </c>
      <c r="AZ174" s="5" t="s">
        <v>395</v>
      </c>
      <c r="BA174" s="5" t="s">
        <v>395</v>
      </c>
      <c r="BB174" s="5" t="s">
        <v>395</v>
      </c>
      <c r="BC174" s="5">
        <v>95.662537537537517</v>
      </c>
      <c r="BD174" s="5" t="s">
        <v>65</v>
      </c>
      <c r="BE174" s="5" t="s">
        <v>65</v>
      </c>
      <c r="BF174" s="5" t="s">
        <v>56</v>
      </c>
      <c r="BG174" s="5" t="s">
        <v>65</v>
      </c>
      <c r="BH174" s="5">
        <v>0.36783502252252248</v>
      </c>
      <c r="BI174" s="5">
        <v>7.6076435810810805</v>
      </c>
      <c r="BJ174" s="5">
        <v>2.2470908408408405</v>
      </c>
      <c r="BK174" s="5" t="s">
        <v>72</v>
      </c>
      <c r="BL174" s="5">
        <v>4.3227946696696691</v>
      </c>
      <c r="BM174" s="5">
        <v>0.25103228228228225</v>
      </c>
      <c r="BN174" s="5">
        <v>62</v>
      </c>
      <c r="BO174" s="5" t="s">
        <v>395</v>
      </c>
      <c r="BP174" s="5" t="s">
        <v>395</v>
      </c>
      <c r="BQ174" s="5" t="s">
        <v>395</v>
      </c>
      <c r="BR174" s="5" t="s">
        <v>395</v>
      </c>
      <c r="BS174" s="5" t="s">
        <v>395</v>
      </c>
      <c r="BT174" s="5" t="s">
        <v>395</v>
      </c>
      <c r="BU174" s="5" t="s">
        <v>395</v>
      </c>
      <c r="BV174" s="5" t="s">
        <v>395</v>
      </c>
      <c r="BW174" s="5" t="s">
        <v>395</v>
      </c>
      <c r="BX174" s="5" t="s">
        <v>395</v>
      </c>
      <c r="BY174" s="5" t="s">
        <v>395</v>
      </c>
      <c r="BZ174" s="5" t="s">
        <v>395</v>
      </c>
      <c r="CA174" s="5" t="s">
        <v>395</v>
      </c>
      <c r="CB174" s="5" t="s">
        <v>395</v>
      </c>
      <c r="CC174" s="5" t="s">
        <v>395</v>
      </c>
      <c r="CD174" s="5" t="s">
        <v>395</v>
      </c>
      <c r="CE174" s="5" t="s">
        <v>395</v>
      </c>
      <c r="CF174" s="5" t="s">
        <v>395</v>
      </c>
      <c r="CG174" s="5" t="s">
        <v>395</v>
      </c>
      <c r="CH174" s="5" t="s">
        <v>395</v>
      </c>
      <c r="CI174" s="5" t="s">
        <v>395</v>
      </c>
      <c r="CJ174" s="5" t="s">
        <v>395</v>
      </c>
      <c r="CK174" s="5" t="s">
        <v>395</v>
      </c>
      <c r="CL174" s="5" t="s">
        <v>395</v>
      </c>
      <c r="CM174" s="5" t="s">
        <v>395</v>
      </c>
      <c r="CN174" s="5" t="s">
        <v>395</v>
      </c>
      <c r="CO174" s="5" t="s">
        <v>395</v>
      </c>
      <c r="CP174" s="5" t="s">
        <v>395</v>
      </c>
      <c r="CQ174" s="5" t="s">
        <v>395</v>
      </c>
      <c r="CR174" s="5" t="s">
        <v>395</v>
      </c>
      <c r="CS174" s="5" t="s">
        <v>395</v>
      </c>
      <c r="CT174" s="5" t="s">
        <v>395</v>
      </c>
      <c r="CU174" s="5" t="s">
        <v>395</v>
      </c>
      <c r="CV174" s="5" t="s">
        <v>395</v>
      </c>
      <c r="CW174" s="5" t="s">
        <v>395</v>
      </c>
      <c r="CX174" s="5" t="s">
        <v>395</v>
      </c>
      <c r="CY174" s="252" t="s">
        <v>395</v>
      </c>
    </row>
    <row r="175" spans="1:103" x14ac:dyDescent="0.3">
      <c r="A175" s="98" t="s">
        <v>112</v>
      </c>
      <c r="B175" s="98" t="s">
        <v>24</v>
      </c>
      <c r="C175" s="132" t="s">
        <v>20</v>
      </c>
      <c r="D175" s="132" t="s">
        <v>125</v>
      </c>
      <c r="E175" s="98"/>
      <c r="F175" s="98"/>
      <c r="G175" s="245">
        <v>41896</v>
      </c>
      <c r="H175" s="1">
        <v>2014</v>
      </c>
      <c r="I175" s="75" t="s">
        <v>33</v>
      </c>
      <c r="J175" s="75">
        <v>10</v>
      </c>
      <c r="K175" s="155" t="s">
        <v>395</v>
      </c>
      <c r="L175" s="5" t="s">
        <v>395</v>
      </c>
      <c r="M175" s="24">
        <v>1</v>
      </c>
      <c r="N175" s="24">
        <v>1.9</v>
      </c>
      <c r="O175" s="24">
        <v>6.2</v>
      </c>
      <c r="P175" s="24">
        <v>5.4</v>
      </c>
      <c r="Q175" s="24">
        <v>11</v>
      </c>
      <c r="R175" s="24">
        <v>9.6</v>
      </c>
      <c r="S175" s="24">
        <v>3.4</v>
      </c>
      <c r="T175" s="24">
        <v>39</v>
      </c>
      <c r="U175" s="5" t="s">
        <v>395</v>
      </c>
      <c r="V175" s="5" t="s">
        <v>77</v>
      </c>
      <c r="W175" s="5">
        <v>0.21</v>
      </c>
      <c r="X175" s="5">
        <v>8.2000000000000003E-2</v>
      </c>
      <c r="Y175" s="5">
        <v>0.1</v>
      </c>
      <c r="Z175" s="5" t="s">
        <v>34</v>
      </c>
      <c r="AA175" s="5" t="s">
        <v>34</v>
      </c>
      <c r="AB175" s="5" t="s">
        <v>34</v>
      </c>
      <c r="AC175" s="5" t="s">
        <v>35</v>
      </c>
      <c r="AD175" s="5">
        <v>0.39200000000000002</v>
      </c>
      <c r="AE175" s="5">
        <f t="shared" si="19"/>
        <v>0.39200000000000002</v>
      </c>
      <c r="AF175" s="24" t="s">
        <v>36</v>
      </c>
      <c r="AG175" s="250" t="s">
        <v>395</v>
      </c>
      <c r="AH175" s="25">
        <f>BC175/18.8</f>
        <v>4.787234042553191</v>
      </c>
      <c r="AI175" s="25">
        <f>BD175/18.8</f>
        <v>3.5638297872340428E-2</v>
      </c>
      <c r="AJ175" s="24" t="s">
        <v>395</v>
      </c>
      <c r="AK175" s="24">
        <f t="shared" ref="AK175:AK181" si="22">BF175/18.8</f>
        <v>2.2340425531914891E-2</v>
      </c>
      <c r="AL175" s="24" t="s">
        <v>395</v>
      </c>
      <c r="AM175" s="24">
        <f t="shared" ref="AM175:AO178" si="23">BH175/18.8</f>
        <v>5.0531914893617018E-2</v>
      </c>
      <c r="AN175" s="24">
        <f t="shared" si="23"/>
        <v>0.32978723404255317</v>
      </c>
      <c r="AO175" s="24">
        <f t="shared" si="23"/>
        <v>7.9787234042553182E-2</v>
      </c>
      <c r="AP175" s="24" t="s">
        <v>395</v>
      </c>
      <c r="AQ175" s="24" t="s">
        <v>395</v>
      </c>
      <c r="AR175" s="24" t="s">
        <v>395</v>
      </c>
      <c r="AS175" s="5" t="s">
        <v>395</v>
      </c>
      <c r="AT175" s="5" t="s">
        <v>395</v>
      </c>
      <c r="AU175" s="5" t="s">
        <v>395</v>
      </c>
      <c r="AV175" s="5" t="s">
        <v>395</v>
      </c>
      <c r="AW175" s="5" t="s">
        <v>395</v>
      </c>
      <c r="AX175" s="5" t="s">
        <v>395</v>
      </c>
      <c r="AY175" s="5" t="s">
        <v>395</v>
      </c>
      <c r="AZ175" s="5" t="s">
        <v>395</v>
      </c>
      <c r="BA175" s="5" t="s">
        <v>395</v>
      </c>
      <c r="BB175" s="5" t="s">
        <v>395</v>
      </c>
      <c r="BC175" s="24">
        <v>90</v>
      </c>
      <c r="BD175" s="24">
        <v>0.67</v>
      </c>
      <c r="BE175" s="24" t="s">
        <v>160</v>
      </c>
      <c r="BF175" s="24">
        <v>0.42</v>
      </c>
      <c r="BG175" s="24" t="s">
        <v>160</v>
      </c>
      <c r="BH175" s="24">
        <v>0.95</v>
      </c>
      <c r="BI175" s="24">
        <v>6.2</v>
      </c>
      <c r="BJ175" s="24">
        <v>1.5</v>
      </c>
      <c r="BK175" s="24" t="s">
        <v>160</v>
      </c>
      <c r="BL175" s="24" t="s">
        <v>160</v>
      </c>
      <c r="BM175" s="5" t="s">
        <v>395</v>
      </c>
      <c r="BN175" s="5" t="s">
        <v>395</v>
      </c>
      <c r="BO175" s="5" t="s">
        <v>395</v>
      </c>
      <c r="BP175" s="5" t="s">
        <v>395</v>
      </c>
      <c r="BQ175" s="5" t="s">
        <v>395</v>
      </c>
      <c r="BR175" s="5" t="s">
        <v>395</v>
      </c>
      <c r="BS175" s="5" t="s">
        <v>395</v>
      </c>
      <c r="BT175" s="5" t="s">
        <v>395</v>
      </c>
      <c r="BU175" s="5" t="s">
        <v>395</v>
      </c>
      <c r="BV175" s="5" t="s">
        <v>395</v>
      </c>
      <c r="BW175" s="5" t="s">
        <v>395</v>
      </c>
      <c r="BX175" s="5" t="s">
        <v>395</v>
      </c>
      <c r="BY175" s="5" t="s">
        <v>395</v>
      </c>
      <c r="BZ175" s="5" t="s">
        <v>395</v>
      </c>
      <c r="CA175" s="5" t="s">
        <v>395</v>
      </c>
      <c r="CB175" s="5" t="s">
        <v>395</v>
      </c>
      <c r="CC175" s="5" t="s">
        <v>395</v>
      </c>
      <c r="CD175" s="5" t="s">
        <v>395</v>
      </c>
      <c r="CE175" s="5" t="s">
        <v>395</v>
      </c>
      <c r="CF175" s="5" t="s">
        <v>395</v>
      </c>
      <c r="CG175" s="5" t="s">
        <v>395</v>
      </c>
      <c r="CH175" s="5" t="s">
        <v>395</v>
      </c>
      <c r="CI175" s="5" t="s">
        <v>395</v>
      </c>
      <c r="CJ175" s="5" t="s">
        <v>395</v>
      </c>
      <c r="CK175" s="5" t="s">
        <v>395</v>
      </c>
      <c r="CL175" s="5" t="s">
        <v>395</v>
      </c>
      <c r="CM175" s="5" t="s">
        <v>395</v>
      </c>
      <c r="CN175" s="5" t="s">
        <v>395</v>
      </c>
      <c r="CO175" s="5" t="s">
        <v>395</v>
      </c>
      <c r="CP175" s="5" t="s">
        <v>395</v>
      </c>
      <c r="CQ175" s="5" t="s">
        <v>395</v>
      </c>
      <c r="CR175" s="5" t="s">
        <v>395</v>
      </c>
      <c r="CS175" s="5" t="s">
        <v>395</v>
      </c>
      <c r="CT175" s="5" t="s">
        <v>395</v>
      </c>
      <c r="CU175" s="5" t="s">
        <v>395</v>
      </c>
      <c r="CV175" s="5" t="s">
        <v>395</v>
      </c>
      <c r="CW175" s="5" t="s">
        <v>395</v>
      </c>
      <c r="CX175" s="5" t="s">
        <v>395</v>
      </c>
      <c r="CY175" s="252" t="s">
        <v>395</v>
      </c>
    </row>
    <row r="176" spans="1:103" x14ac:dyDescent="0.3">
      <c r="A176" s="98" t="s">
        <v>22</v>
      </c>
      <c r="B176" s="98" t="s">
        <v>22</v>
      </c>
      <c r="C176" s="132" t="s">
        <v>20</v>
      </c>
      <c r="D176" s="132" t="s">
        <v>125</v>
      </c>
      <c r="E176" s="98"/>
      <c r="F176" s="98"/>
      <c r="G176" s="245">
        <v>41899</v>
      </c>
      <c r="H176" s="1">
        <v>2014</v>
      </c>
      <c r="I176" s="75" t="s">
        <v>33</v>
      </c>
      <c r="J176" s="75">
        <v>10</v>
      </c>
      <c r="K176" s="155" t="s">
        <v>395</v>
      </c>
      <c r="L176" s="5" t="s">
        <v>395</v>
      </c>
      <c r="M176" s="24">
        <v>0.95</v>
      </c>
      <c r="N176" s="24">
        <v>2</v>
      </c>
      <c r="O176" s="24">
        <v>6.2</v>
      </c>
      <c r="P176" s="24">
        <v>5</v>
      </c>
      <c r="Q176" s="24">
        <v>12</v>
      </c>
      <c r="R176" s="24">
        <v>11</v>
      </c>
      <c r="S176" s="24">
        <v>4.2</v>
      </c>
      <c r="T176" s="24">
        <v>42</v>
      </c>
      <c r="U176" s="5" t="s">
        <v>395</v>
      </c>
      <c r="V176" s="5" t="s">
        <v>76</v>
      </c>
      <c r="W176" s="5">
        <v>0.28000000000000003</v>
      </c>
      <c r="X176" s="5">
        <v>0.14000000000000001</v>
      </c>
      <c r="Y176" s="5">
        <v>0.28000000000000003</v>
      </c>
      <c r="Z176" s="5" t="s">
        <v>34</v>
      </c>
      <c r="AA176" s="5">
        <v>5.7000000000000002E-2</v>
      </c>
      <c r="AB176" s="5">
        <v>4.7E-2</v>
      </c>
      <c r="AC176" s="5" t="s">
        <v>37</v>
      </c>
      <c r="AD176" s="5">
        <v>0.80400000000000016</v>
      </c>
      <c r="AE176" s="5">
        <f>SUM(V176,W176,Y176,X176,AB176,AA176)</f>
        <v>0.80400000000000016</v>
      </c>
      <c r="AF176" s="24" t="s">
        <v>38</v>
      </c>
      <c r="AG176" s="250" t="s">
        <v>395</v>
      </c>
      <c r="AH176" s="25">
        <f>BC176/18.8</f>
        <v>9.5744680851063819</v>
      </c>
      <c r="AI176" s="25">
        <f>BD176/18.8</f>
        <v>4.5212765957446804E-2</v>
      </c>
      <c r="AJ176" s="24" t="s">
        <v>395</v>
      </c>
      <c r="AK176" s="24">
        <f t="shared" si="22"/>
        <v>6.382978723404255E-3</v>
      </c>
      <c r="AL176" s="24" t="s">
        <v>395</v>
      </c>
      <c r="AM176" s="24">
        <f t="shared" si="23"/>
        <v>1.1702127659574468E-2</v>
      </c>
      <c r="AN176" s="24">
        <f t="shared" si="23"/>
        <v>0.25</v>
      </c>
      <c r="AO176" s="24">
        <f t="shared" si="23"/>
        <v>0.20744680851063829</v>
      </c>
      <c r="AP176" s="24" t="s">
        <v>395</v>
      </c>
      <c r="AQ176" s="24" t="s">
        <v>395</v>
      </c>
      <c r="AR176" s="24" t="s">
        <v>395</v>
      </c>
      <c r="AS176" s="5" t="s">
        <v>395</v>
      </c>
      <c r="AT176" s="5" t="s">
        <v>395</v>
      </c>
      <c r="AU176" s="5" t="s">
        <v>395</v>
      </c>
      <c r="AV176" s="5" t="s">
        <v>395</v>
      </c>
      <c r="AW176" s="5" t="s">
        <v>395</v>
      </c>
      <c r="AX176" s="5" t="s">
        <v>395</v>
      </c>
      <c r="AY176" s="5" t="s">
        <v>395</v>
      </c>
      <c r="AZ176" s="5" t="s">
        <v>395</v>
      </c>
      <c r="BA176" s="5" t="s">
        <v>395</v>
      </c>
      <c r="BB176" s="5" t="s">
        <v>395</v>
      </c>
      <c r="BC176" s="24">
        <v>180</v>
      </c>
      <c r="BD176" s="24">
        <v>0.85</v>
      </c>
      <c r="BE176" s="24" t="s">
        <v>160</v>
      </c>
      <c r="BF176" s="24">
        <v>0.12</v>
      </c>
      <c r="BG176" s="24" t="s">
        <v>160</v>
      </c>
      <c r="BH176" s="24">
        <v>0.22</v>
      </c>
      <c r="BI176" s="24">
        <v>4.7</v>
      </c>
      <c r="BJ176" s="24">
        <v>3.9</v>
      </c>
      <c r="BK176" s="24" t="s">
        <v>160</v>
      </c>
      <c r="BL176" s="24" t="s">
        <v>160</v>
      </c>
      <c r="BM176" s="5" t="s">
        <v>395</v>
      </c>
      <c r="BN176" s="5" t="s">
        <v>395</v>
      </c>
      <c r="BO176" s="5" t="s">
        <v>395</v>
      </c>
      <c r="BP176" s="5" t="s">
        <v>395</v>
      </c>
      <c r="BQ176" s="5" t="s">
        <v>395</v>
      </c>
      <c r="BR176" s="5" t="s">
        <v>395</v>
      </c>
      <c r="BS176" s="5" t="s">
        <v>395</v>
      </c>
      <c r="BT176" s="5" t="s">
        <v>395</v>
      </c>
      <c r="BU176" s="5" t="s">
        <v>395</v>
      </c>
      <c r="BV176" s="5" t="s">
        <v>395</v>
      </c>
      <c r="BW176" s="5" t="s">
        <v>395</v>
      </c>
      <c r="BX176" s="5" t="s">
        <v>395</v>
      </c>
      <c r="BY176" s="5" t="s">
        <v>395</v>
      </c>
      <c r="BZ176" s="5" t="s">
        <v>395</v>
      </c>
      <c r="CA176" s="5" t="s">
        <v>395</v>
      </c>
      <c r="CB176" s="5" t="s">
        <v>395</v>
      </c>
      <c r="CC176" s="5" t="s">
        <v>395</v>
      </c>
      <c r="CD176" s="5" t="s">
        <v>395</v>
      </c>
      <c r="CE176" s="5" t="s">
        <v>395</v>
      </c>
      <c r="CF176" s="5" t="s">
        <v>395</v>
      </c>
      <c r="CG176" s="5" t="s">
        <v>395</v>
      </c>
      <c r="CH176" s="5" t="s">
        <v>395</v>
      </c>
      <c r="CI176" s="5" t="s">
        <v>395</v>
      </c>
      <c r="CJ176" s="5" t="s">
        <v>395</v>
      </c>
      <c r="CK176" s="5" t="s">
        <v>395</v>
      </c>
      <c r="CL176" s="5" t="s">
        <v>395</v>
      </c>
      <c r="CM176" s="5" t="s">
        <v>395</v>
      </c>
      <c r="CN176" s="5" t="s">
        <v>395</v>
      </c>
      <c r="CO176" s="5" t="s">
        <v>395</v>
      </c>
      <c r="CP176" s="5" t="s">
        <v>395</v>
      </c>
      <c r="CQ176" s="5" t="s">
        <v>395</v>
      </c>
      <c r="CR176" s="5" t="s">
        <v>395</v>
      </c>
      <c r="CS176" s="5" t="s">
        <v>395</v>
      </c>
      <c r="CT176" s="5" t="s">
        <v>395</v>
      </c>
      <c r="CU176" s="5" t="s">
        <v>395</v>
      </c>
      <c r="CV176" s="5" t="s">
        <v>395</v>
      </c>
      <c r="CW176" s="5" t="s">
        <v>395</v>
      </c>
      <c r="CX176" s="5" t="s">
        <v>395</v>
      </c>
      <c r="CY176" s="252" t="s">
        <v>395</v>
      </c>
    </row>
    <row r="177" spans="1:103" x14ac:dyDescent="0.3">
      <c r="A177" s="98" t="s">
        <v>21</v>
      </c>
      <c r="B177" s="98" t="s">
        <v>21</v>
      </c>
      <c r="C177" s="132" t="s">
        <v>20</v>
      </c>
      <c r="D177" s="132" t="s">
        <v>125</v>
      </c>
      <c r="E177" s="98"/>
      <c r="F177" s="98"/>
      <c r="G177" s="245">
        <v>41986</v>
      </c>
      <c r="H177" s="1">
        <v>2014</v>
      </c>
      <c r="I177" s="75" t="s">
        <v>33</v>
      </c>
      <c r="J177" s="75">
        <v>10</v>
      </c>
      <c r="K177" s="155" t="s">
        <v>395</v>
      </c>
      <c r="L177" s="5" t="s">
        <v>395</v>
      </c>
      <c r="M177" s="24" t="s">
        <v>39</v>
      </c>
      <c r="N177" s="24">
        <v>0.23</v>
      </c>
      <c r="O177" s="24">
        <v>1.7</v>
      </c>
      <c r="P177" s="24">
        <v>1.4</v>
      </c>
      <c r="Q177" s="24">
        <v>6.4</v>
      </c>
      <c r="R177" s="24">
        <v>5.4</v>
      </c>
      <c r="S177" s="24">
        <v>2.7</v>
      </c>
      <c r="T177" s="24">
        <v>18</v>
      </c>
      <c r="U177" s="5" t="s">
        <v>395</v>
      </c>
      <c r="V177" s="5" t="s">
        <v>76</v>
      </c>
      <c r="W177" s="5">
        <v>0.28000000000000003</v>
      </c>
      <c r="X177" s="5">
        <v>0.13</v>
      </c>
      <c r="Y177" s="5">
        <v>0.2</v>
      </c>
      <c r="Z177" s="5" t="s">
        <v>34</v>
      </c>
      <c r="AA177" s="5">
        <v>4.3999999999999997E-2</v>
      </c>
      <c r="AB177" s="5">
        <v>3.5000000000000003E-2</v>
      </c>
      <c r="AC177" s="5" t="s">
        <v>35</v>
      </c>
      <c r="AD177" s="5">
        <v>0.68900000000000017</v>
      </c>
      <c r="AE177" s="5">
        <f t="shared" si="19"/>
        <v>0.68900000000000017</v>
      </c>
      <c r="AF177" s="24" t="s">
        <v>38</v>
      </c>
      <c r="AG177" s="250" t="s">
        <v>395</v>
      </c>
      <c r="AH177" s="25">
        <f t="shared" ref="AH177:AH214" si="24">BC177/18.8</f>
        <v>11.702127659574467</v>
      </c>
      <c r="AI177" s="25">
        <f>BD177/18.8</f>
        <v>4.0425531914893613E-2</v>
      </c>
      <c r="AJ177" s="24">
        <f>BE177/18.8</f>
        <v>1.276595744680851E-2</v>
      </c>
      <c r="AK177" s="24">
        <f t="shared" si="22"/>
        <v>5.8510638297872338E-3</v>
      </c>
      <c r="AL177" s="24" t="s">
        <v>395</v>
      </c>
      <c r="AM177" s="24">
        <f t="shared" si="23"/>
        <v>1.276595744680851E-2</v>
      </c>
      <c r="AN177" s="24">
        <f t="shared" si="23"/>
        <v>0.27659574468085107</v>
      </c>
      <c r="AO177" s="24">
        <f t="shared" si="23"/>
        <v>0.25</v>
      </c>
      <c r="AP177" s="24" t="s">
        <v>395</v>
      </c>
      <c r="AQ177" s="24" t="s">
        <v>395</v>
      </c>
      <c r="AR177" s="24" t="s">
        <v>395</v>
      </c>
      <c r="AS177" s="5" t="s">
        <v>395</v>
      </c>
      <c r="AT177" s="5" t="s">
        <v>395</v>
      </c>
      <c r="AU177" s="5" t="s">
        <v>395</v>
      </c>
      <c r="AV177" s="5" t="s">
        <v>395</v>
      </c>
      <c r="AW177" s="5" t="s">
        <v>395</v>
      </c>
      <c r="AX177" s="5" t="s">
        <v>395</v>
      </c>
      <c r="AY177" s="5" t="s">
        <v>395</v>
      </c>
      <c r="AZ177" s="5" t="s">
        <v>395</v>
      </c>
      <c r="BA177" s="5" t="s">
        <v>395</v>
      </c>
      <c r="BB177" s="5" t="s">
        <v>395</v>
      </c>
      <c r="BC177" s="24">
        <v>220</v>
      </c>
      <c r="BD177" s="24">
        <v>0.76</v>
      </c>
      <c r="BE177" s="24">
        <v>0.24</v>
      </c>
      <c r="BF177" s="24">
        <v>0.11</v>
      </c>
      <c r="BG177" s="24" t="s">
        <v>160</v>
      </c>
      <c r="BH177" s="24">
        <v>0.24</v>
      </c>
      <c r="BI177" s="24">
        <v>5.2</v>
      </c>
      <c r="BJ177" s="24">
        <v>4.7</v>
      </c>
      <c r="BK177" s="24" t="s">
        <v>160</v>
      </c>
      <c r="BL177" s="24" t="s">
        <v>160</v>
      </c>
      <c r="BM177" s="5" t="s">
        <v>395</v>
      </c>
      <c r="BN177" s="5" t="s">
        <v>395</v>
      </c>
      <c r="BO177" s="5" t="s">
        <v>395</v>
      </c>
      <c r="BP177" s="5" t="s">
        <v>395</v>
      </c>
      <c r="BQ177" s="5" t="s">
        <v>395</v>
      </c>
      <c r="BR177" s="5" t="s">
        <v>395</v>
      </c>
      <c r="BS177" s="5" t="s">
        <v>395</v>
      </c>
      <c r="BT177" s="5" t="s">
        <v>395</v>
      </c>
      <c r="BU177" s="5" t="s">
        <v>395</v>
      </c>
      <c r="BV177" s="5" t="s">
        <v>395</v>
      </c>
      <c r="BW177" s="5" t="s">
        <v>395</v>
      </c>
      <c r="BX177" s="5" t="s">
        <v>395</v>
      </c>
      <c r="BY177" s="5" t="s">
        <v>395</v>
      </c>
      <c r="BZ177" s="5" t="s">
        <v>395</v>
      </c>
      <c r="CA177" s="5" t="s">
        <v>395</v>
      </c>
      <c r="CB177" s="5" t="s">
        <v>395</v>
      </c>
      <c r="CC177" s="5" t="s">
        <v>395</v>
      </c>
      <c r="CD177" s="5" t="s">
        <v>395</v>
      </c>
      <c r="CE177" s="5" t="s">
        <v>395</v>
      </c>
      <c r="CF177" s="5" t="s">
        <v>395</v>
      </c>
      <c r="CG177" s="5" t="s">
        <v>395</v>
      </c>
      <c r="CH177" s="5" t="s">
        <v>395</v>
      </c>
      <c r="CI177" s="5" t="s">
        <v>395</v>
      </c>
      <c r="CJ177" s="5" t="s">
        <v>395</v>
      </c>
      <c r="CK177" s="5" t="s">
        <v>395</v>
      </c>
      <c r="CL177" s="5" t="s">
        <v>395</v>
      </c>
      <c r="CM177" s="5" t="s">
        <v>395</v>
      </c>
      <c r="CN177" s="5" t="s">
        <v>395</v>
      </c>
      <c r="CO177" s="5" t="s">
        <v>395</v>
      </c>
      <c r="CP177" s="5" t="s">
        <v>395</v>
      </c>
      <c r="CQ177" s="5" t="s">
        <v>395</v>
      </c>
      <c r="CR177" s="5" t="s">
        <v>395</v>
      </c>
      <c r="CS177" s="5" t="s">
        <v>395</v>
      </c>
      <c r="CT177" s="5" t="s">
        <v>395</v>
      </c>
      <c r="CU177" s="5" t="s">
        <v>395</v>
      </c>
      <c r="CV177" s="5" t="s">
        <v>395</v>
      </c>
      <c r="CW177" s="5" t="s">
        <v>395</v>
      </c>
      <c r="CX177" s="5" t="s">
        <v>395</v>
      </c>
      <c r="CY177" s="252" t="s">
        <v>395</v>
      </c>
    </row>
    <row r="178" spans="1:103" x14ac:dyDescent="0.3">
      <c r="A178" s="98" t="s">
        <v>23</v>
      </c>
      <c r="B178" s="98" t="s">
        <v>23</v>
      </c>
      <c r="C178" s="132" t="s">
        <v>20</v>
      </c>
      <c r="D178" s="132" t="s">
        <v>125</v>
      </c>
      <c r="E178" s="98"/>
      <c r="F178" s="98"/>
      <c r="G178" s="245">
        <v>41898</v>
      </c>
      <c r="H178" s="1">
        <v>2014</v>
      </c>
      <c r="I178" s="75" t="s">
        <v>33</v>
      </c>
      <c r="J178" s="75">
        <v>10</v>
      </c>
      <c r="K178" s="155" t="s">
        <v>395</v>
      </c>
      <c r="L178" s="5" t="s">
        <v>395</v>
      </c>
      <c r="M178" s="24">
        <v>0.4</v>
      </c>
      <c r="N178" s="24">
        <v>1.7</v>
      </c>
      <c r="O178" s="24">
        <v>6.6</v>
      </c>
      <c r="P178" s="24">
        <v>5.5</v>
      </c>
      <c r="Q178" s="24">
        <v>11</v>
      </c>
      <c r="R178" s="24">
        <v>11</v>
      </c>
      <c r="S178" s="24">
        <v>4.3</v>
      </c>
      <c r="T178" s="24">
        <v>41</v>
      </c>
      <c r="U178" s="5" t="s">
        <v>395</v>
      </c>
      <c r="V178" s="5" t="s">
        <v>76</v>
      </c>
      <c r="W178" s="5">
        <v>6.9000000000000006E-2</v>
      </c>
      <c r="X178" s="5">
        <v>4.4999999999999998E-2</v>
      </c>
      <c r="Y178" s="5">
        <v>3.7999999999999999E-2</v>
      </c>
      <c r="Z178" s="5">
        <v>5.1999999999999998E-2</v>
      </c>
      <c r="AA178" s="5" t="s">
        <v>40</v>
      </c>
      <c r="AB178" s="5" t="s">
        <v>40</v>
      </c>
      <c r="AC178" s="5" t="s">
        <v>41</v>
      </c>
      <c r="AD178" s="5">
        <v>0.20400000000000001</v>
      </c>
      <c r="AE178" s="5">
        <f>SUM(V178,W178,Y178,X178,AB178,AA178)</f>
        <v>0.15200000000000002</v>
      </c>
      <c r="AF178" s="24" t="s">
        <v>42</v>
      </c>
      <c r="AG178" s="250" t="s">
        <v>395</v>
      </c>
      <c r="AH178" s="25">
        <f t="shared" si="24"/>
        <v>6.914893617021276</v>
      </c>
      <c r="AI178" s="25">
        <f>BD178/18.8</f>
        <v>4.9468085106382981E-2</v>
      </c>
      <c r="AJ178" s="24">
        <f>BE178/18.8</f>
        <v>2.3404255319148935E-2</v>
      </c>
      <c r="AK178" s="24">
        <f t="shared" si="22"/>
        <v>2.5000000000000001E-3</v>
      </c>
      <c r="AL178" s="24" t="s">
        <v>395</v>
      </c>
      <c r="AM178" s="24">
        <f t="shared" si="23"/>
        <v>2.7659574468085105E-2</v>
      </c>
      <c r="AN178" s="24">
        <f t="shared" si="23"/>
        <v>0.3457446808510638</v>
      </c>
      <c r="AO178" s="24">
        <f t="shared" si="23"/>
        <v>0.1702127659574468</v>
      </c>
      <c r="AP178" s="24" t="s">
        <v>395</v>
      </c>
      <c r="AQ178" s="24" t="s">
        <v>395</v>
      </c>
      <c r="AR178" s="24" t="s">
        <v>395</v>
      </c>
      <c r="AS178" s="5" t="s">
        <v>395</v>
      </c>
      <c r="AT178" s="5" t="s">
        <v>395</v>
      </c>
      <c r="AU178" s="5" t="s">
        <v>395</v>
      </c>
      <c r="AV178" s="5" t="s">
        <v>395</v>
      </c>
      <c r="AW178" s="5" t="s">
        <v>395</v>
      </c>
      <c r="AX178" s="5" t="s">
        <v>395</v>
      </c>
      <c r="AY178" s="5" t="s">
        <v>395</v>
      </c>
      <c r="AZ178" s="5" t="s">
        <v>395</v>
      </c>
      <c r="BA178" s="5" t="s">
        <v>395</v>
      </c>
      <c r="BB178" s="5" t="s">
        <v>395</v>
      </c>
      <c r="BC178" s="24">
        <v>130</v>
      </c>
      <c r="BD178" s="24">
        <v>0.93</v>
      </c>
      <c r="BE178" s="24">
        <v>0.44</v>
      </c>
      <c r="BF178" s="24">
        <v>4.7E-2</v>
      </c>
      <c r="BG178" s="24" t="s">
        <v>160</v>
      </c>
      <c r="BH178" s="24">
        <v>0.52</v>
      </c>
      <c r="BI178" s="24">
        <v>6.5</v>
      </c>
      <c r="BJ178" s="24">
        <v>3.2</v>
      </c>
      <c r="BK178" s="24" t="s">
        <v>160</v>
      </c>
      <c r="BL178" s="24" t="s">
        <v>160</v>
      </c>
      <c r="BM178" s="5" t="s">
        <v>395</v>
      </c>
      <c r="BN178" s="5" t="s">
        <v>395</v>
      </c>
      <c r="BO178" s="5" t="s">
        <v>395</v>
      </c>
      <c r="BP178" s="5" t="s">
        <v>395</v>
      </c>
      <c r="BQ178" s="5" t="s">
        <v>395</v>
      </c>
      <c r="BR178" s="5" t="s">
        <v>395</v>
      </c>
      <c r="BS178" s="5" t="s">
        <v>395</v>
      </c>
      <c r="BT178" s="5" t="s">
        <v>395</v>
      </c>
      <c r="BU178" s="5" t="s">
        <v>395</v>
      </c>
      <c r="BV178" s="5" t="s">
        <v>395</v>
      </c>
      <c r="BW178" s="5" t="s">
        <v>395</v>
      </c>
      <c r="BX178" s="5" t="s">
        <v>395</v>
      </c>
      <c r="BY178" s="5" t="s">
        <v>395</v>
      </c>
      <c r="BZ178" s="5" t="s">
        <v>395</v>
      </c>
      <c r="CA178" s="5" t="s">
        <v>395</v>
      </c>
      <c r="CB178" s="5" t="s">
        <v>395</v>
      </c>
      <c r="CC178" s="5" t="s">
        <v>395</v>
      </c>
      <c r="CD178" s="5" t="s">
        <v>395</v>
      </c>
      <c r="CE178" s="5" t="s">
        <v>395</v>
      </c>
      <c r="CF178" s="5" t="s">
        <v>395</v>
      </c>
      <c r="CG178" s="5" t="s">
        <v>395</v>
      </c>
      <c r="CH178" s="5" t="s">
        <v>395</v>
      </c>
      <c r="CI178" s="5" t="s">
        <v>395</v>
      </c>
      <c r="CJ178" s="5" t="s">
        <v>395</v>
      </c>
      <c r="CK178" s="5" t="s">
        <v>395</v>
      </c>
      <c r="CL178" s="5" t="s">
        <v>395</v>
      </c>
      <c r="CM178" s="5" t="s">
        <v>395</v>
      </c>
      <c r="CN178" s="5" t="s">
        <v>395</v>
      </c>
      <c r="CO178" s="5" t="s">
        <v>395</v>
      </c>
      <c r="CP178" s="5" t="s">
        <v>395</v>
      </c>
      <c r="CQ178" s="5" t="s">
        <v>395</v>
      </c>
      <c r="CR178" s="5" t="s">
        <v>395</v>
      </c>
      <c r="CS178" s="5" t="s">
        <v>395</v>
      </c>
      <c r="CT178" s="5" t="s">
        <v>395</v>
      </c>
      <c r="CU178" s="5" t="s">
        <v>395</v>
      </c>
      <c r="CV178" s="5" t="s">
        <v>395</v>
      </c>
      <c r="CW178" s="5" t="s">
        <v>395</v>
      </c>
      <c r="CX178" s="5" t="s">
        <v>395</v>
      </c>
      <c r="CY178" s="252" t="s">
        <v>395</v>
      </c>
    </row>
    <row r="179" spans="1:103" x14ac:dyDescent="0.3">
      <c r="A179" s="98" t="s">
        <v>112</v>
      </c>
      <c r="B179" s="98" t="s">
        <v>24</v>
      </c>
      <c r="C179" s="132" t="s">
        <v>20</v>
      </c>
      <c r="D179" s="132" t="s">
        <v>125</v>
      </c>
      <c r="E179" s="98"/>
      <c r="F179" s="98"/>
      <c r="G179" s="245">
        <v>41517</v>
      </c>
      <c r="H179" s="1">
        <v>2013</v>
      </c>
      <c r="I179" s="75" t="s">
        <v>33</v>
      </c>
      <c r="J179" s="75">
        <v>10</v>
      </c>
      <c r="K179" s="155">
        <v>0.72346398877015194</v>
      </c>
      <c r="L179" s="5" t="s">
        <v>395</v>
      </c>
      <c r="M179" s="5" t="s">
        <v>395</v>
      </c>
      <c r="N179" s="5" t="s">
        <v>395</v>
      </c>
      <c r="O179" s="5" t="s">
        <v>395</v>
      </c>
      <c r="P179" s="5" t="s">
        <v>395</v>
      </c>
      <c r="Q179" s="5" t="s">
        <v>395</v>
      </c>
      <c r="R179" s="5" t="s">
        <v>395</v>
      </c>
      <c r="S179" s="5" t="s">
        <v>395</v>
      </c>
      <c r="T179" s="5" t="s">
        <v>395</v>
      </c>
      <c r="U179" s="5" t="s">
        <v>395</v>
      </c>
      <c r="V179" s="5" t="s">
        <v>395</v>
      </c>
      <c r="W179" s="5" t="s">
        <v>395</v>
      </c>
      <c r="X179" s="5" t="s">
        <v>395</v>
      </c>
      <c r="Y179" s="5" t="s">
        <v>395</v>
      </c>
      <c r="Z179" s="5" t="s">
        <v>395</v>
      </c>
      <c r="AA179" s="5" t="s">
        <v>395</v>
      </c>
      <c r="AB179" s="5" t="s">
        <v>395</v>
      </c>
      <c r="AC179" s="5" t="s">
        <v>395</v>
      </c>
      <c r="AD179" s="5" t="s">
        <v>395</v>
      </c>
      <c r="AE179" s="5" t="s">
        <v>395</v>
      </c>
      <c r="AF179" s="5" t="s">
        <v>395</v>
      </c>
      <c r="AG179" s="250" t="s">
        <v>395</v>
      </c>
      <c r="AH179" s="25">
        <f t="shared" si="24"/>
        <v>16.648936170212764</v>
      </c>
      <c r="AI179" s="24" t="s">
        <v>395</v>
      </c>
      <c r="AJ179" s="24" t="s">
        <v>395</v>
      </c>
      <c r="AK179" s="24">
        <f t="shared" si="22"/>
        <v>4.6755319148936166E-2</v>
      </c>
      <c r="AL179" s="24" t="s">
        <v>395</v>
      </c>
      <c r="AM179" s="24" t="s">
        <v>395</v>
      </c>
      <c r="AN179" s="24" t="s">
        <v>395</v>
      </c>
      <c r="AO179" s="24" t="s">
        <v>395</v>
      </c>
      <c r="AP179" s="24" t="s">
        <v>395</v>
      </c>
      <c r="AQ179" s="24" t="s">
        <v>395</v>
      </c>
      <c r="AR179" s="24" t="s">
        <v>395</v>
      </c>
      <c r="AS179" s="5" t="s">
        <v>395</v>
      </c>
      <c r="AT179" s="5" t="s">
        <v>395</v>
      </c>
      <c r="AU179" s="5" t="s">
        <v>395</v>
      </c>
      <c r="AV179" s="5" t="s">
        <v>395</v>
      </c>
      <c r="AW179" s="5" t="s">
        <v>395</v>
      </c>
      <c r="AX179" s="5" t="s">
        <v>395</v>
      </c>
      <c r="AY179" s="5" t="s">
        <v>395</v>
      </c>
      <c r="AZ179" s="5" t="s">
        <v>395</v>
      </c>
      <c r="BA179" s="5" t="s">
        <v>395</v>
      </c>
      <c r="BB179" s="5" t="s">
        <v>395</v>
      </c>
      <c r="BC179" s="24">
        <v>313</v>
      </c>
      <c r="BD179" s="24" t="s">
        <v>160</v>
      </c>
      <c r="BE179" s="24" t="s">
        <v>160</v>
      </c>
      <c r="BF179" s="24">
        <v>0.879</v>
      </c>
      <c r="BG179" s="5" t="s">
        <v>395</v>
      </c>
      <c r="BH179" s="5" t="s">
        <v>395</v>
      </c>
      <c r="BI179" s="5" t="s">
        <v>395</v>
      </c>
      <c r="BJ179" s="5" t="s">
        <v>395</v>
      </c>
      <c r="BK179" s="5" t="s">
        <v>395</v>
      </c>
      <c r="BL179" s="5" t="s">
        <v>395</v>
      </c>
      <c r="BM179" s="5" t="s">
        <v>395</v>
      </c>
      <c r="BN179" s="5" t="s">
        <v>395</v>
      </c>
      <c r="BO179" s="5" t="s">
        <v>395</v>
      </c>
      <c r="BP179" s="5" t="s">
        <v>395</v>
      </c>
      <c r="BQ179" s="5" t="s">
        <v>395</v>
      </c>
      <c r="BR179" s="5" t="s">
        <v>395</v>
      </c>
      <c r="BS179" s="5" t="s">
        <v>395</v>
      </c>
      <c r="BT179" s="5" t="s">
        <v>395</v>
      </c>
      <c r="BU179" s="5" t="s">
        <v>395</v>
      </c>
      <c r="BV179" s="5" t="s">
        <v>395</v>
      </c>
      <c r="BW179" s="5" t="s">
        <v>395</v>
      </c>
      <c r="BX179" s="5" t="s">
        <v>395</v>
      </c>
      <c r="BY179" s="5" t="s">
        <v>395</v>
      </c>
      <c r="BZ179" s="5" t="s">
        <v>395</v>
      </c>
      <c r="CA179" s="5" t="s">
        <v>395</v>
      </c>
      <c r="CB179" s="5" t="s">
        <v>395</v>
      </c>
      <c r="CC179" s="5" t="s">
        <v>395</v>
      </c>
      <c r="CD179" s="5" t="s">
        <v>395</v>
      </c>
      <c r="CE179" s="5" t="s">
        <v>395</v>
      </c>
      <c r="CF179" s="5" t="s">
        <v>395</v>
      </c>
      <c r="CG179" s="5" t="s">
        <v>395</v>
      </c>
      <c r="CH179" s="5" t="s">
        <v>395</v>
      </c>
      <c r="CI179" s="54">
        <v>93.000274130019179</v>
      </c>
      <c r="CJ179" s="54">
        <v>250</v>
      </c>
      <c r="CK179" s="54">
        <v>790</v>
      </c>
      <c r="CL179" s="54">
        <v>650</v>
      </c>
      <c r="CM179" s="54">
        <v>1300</v>
      </c>
      <c r="CN179" s="54">
        <v>1200</v>
      </c>
      <c r="CO179" s="54">
        <v>400</v>
      </c>
      <c r="CP179" s="54">
        <v>4700</v>
      </c>
      <c r="CQ179" s="55">
        <v>35.633283657609191</v>
      </c>
      <c r="CR179" s="56">
        <v>9.6430277939406324</v>
      </c>
      <c r="CS179" s="55">
        <v>10.989990406427578</v>
      </c>
      <c r="CT179" s="56" t="s">
        <v>162</v>
      </c>
      <c r="CU179" s="56">
        <v>3.5957958992964181</v>
      </c>
      <c r="CV179" s="56">
        <v>7.1021665022038949</v>
      </c>
      <c r="CW179" s="56" t="s">
        <v>117</v>
      </c>
      <c r="CX179" s="55">
        <v>67</v>
      </c>
      <c r="CY179" s="60" t="s">
        <v>118</v>
      </c>
    </row>
    <row r="180" spans="1:103" x14ac:dyDescent="0.3">
      <c r="A180" s="98" t="s">
        <v>22</v>
      </c>
      <c r="B180" s="98" t="s">
        <v>22</v>
      </c>
      <c r="C180" s="132" t="s">
        <v>20</v>
      </c>
      <c r="D180" s="132" t="s">
        <v>125</v>
      </c>
      <c r="E180" s="98"/>
      <c r="F180" s="98"/>
      <c r="G180" s="245">
        <v>41514</v>
      </c>
      <c r="H180" s="1">
        <v>2013</v>
      </c>
      <c r="I180" s="75" t="s">
        <v>33</v>
      </c>
      <c r="J180" s="75">
        <v>10</v>
      </c>
      <c r="K180" s="155">
        <v>0.6</v>
      </c>
      <c r="L180" s="5" t="s">
        <v>395</v>
      </c>
      <c r="M180" s="5" t="s">
        <v>395</v>
      </c>
      <c r="N180" s="5" t="s">
        <v>395</v>
      </c>
      <c r="O180" s="5" t="s">
        <v>395</v>
      </c>
      <c r="P180" s="5" t="s">
        <v>395</v>
      </c>
      <c r="Q180" s="5" t="s">
        <v>395</v>
      </c>
      <c r="R180" s="5" t="s">
        <v>395</v>
      </c>
      <c r="S180" s="5" t="s">
        <v>395</v>
      </c>
      <c r="T180" s="5" t="s">
        <v>395</v>
      </c>
      <c r="U180" s="5" t="s">
        <v>395</v>
      </c>
      <c r="V180" s="5" t="s">
        <v>395</v>
      </c>
      <c r="W180" s="5" t="s">
        <v>395</v>
      </c>
      <c r="X180" s="5" t="s">
        <v>395</v>
      </c>
      <c r="Y180" s="5" t="s">
        <v>395</v>
      </c>
      <c r="Z180" s="5" t="s">
        <v>395</v>
      </c>
      <c r="AA180" s="5" t="s">
        <v>395</v>
      </c>
      <c r="AB180" s="5" t="s">
        <v>395</v>
      </c>
      <c r="AC180" s="5" t="s">
        <v>395</v>
      </c>
      <c r="AD180" s="5" t="s">
        <v>395</v>
      </c>
      <c r="AE180" s="5" t="s">
        <v>395</v>
      </c>
      <c r="AF180" s="5" t="s">
        <v>395</v>
      </c>
      <c r="AG180" s="250" t="s">
        <v>395</v>
      </c>
      <c r="AH180" s="25">
        <f t="shared" si="24"/>
        <v>9.8936170212765955</v>
      </c>
      <c r="AI180" s="24" t="s">
        <v>395</v>
      </c>
      <c r="AJ180" s="24" t="s">
        <v>395</v>
      </c>
      <c r="AK180" s="24">
        <f t="shared" si="22"/>
        <v>4.1382978723404254E-2</v>
      </c>
      <c r="AL180" s="24" t="s">
        <v>395</v>
      </c>
      <c r="AM180" s="24" t="s">
        <v>395</v>
      </c>
      <c r="AN180" s="24" t="s">
        <v>395</v>
      </c>
      <c r="AO180" s="24" t="s">
        <v>395</v>
      </c>
      <c r="AP180" s="24" t="s">
        <v>395</v>
      </c>
      <c r="AQ180" s="24" t="s">
        <v>395</v>
      </c>
      <c r="AR180" s="24" t="s">
        <v>395</v>
      </c>
      <c r="AS180" s="5" t="s">
        <v>395</v>
      </c>
      <c r="AT180" s="5" t="s">
        <v>395</v>
      </c>
      <c r="AU180" s="5" t="s">
        <v>395</v>
      </c>
      <c r="AV180" s="5" t="s">
        <v>395</v>
      </c>
      <c r="AW180" s="5" t="s">
        <v>395</v>
      </c>
      <c r="AX180" s="5" t="s">
        <v>395</v>
      </c>
      <c r="AY180" s="5" t="s">
        <v>395</v>
      </c>
      <c r="AZ180" s="5" t="s">
        <v>395</v>
      </c>
      <c r="BA180" s="5" t="s">
        <v>395</v>
      </c>
      <c r="BB180" s="5" t="s">
        <v>395</v>
      </c>
      <c r="BC180" s="24">
        <v>186</v>
      </c>
      <c r="BD180" s="24" t="s">
        <v>160</v>
      </c>
      <c r="BE180" s="24" t="s">
        <v>160</v>
      </c>
      <c r="BF180" s="24">
        <v>0.77800000000000002</v>
      </c>
      <c r="BG180" s="5" t="s">
        <v>395</v>
      </c>
      <c r="BH180" s="5" t="s">
        <v>395</v>
      </c>
      <c r="BI180" s="5" t="s">
        <v>395</v>
      </c>
      <c r="BJ180" s="5" t="s">
        <v>395</v>
      </c>
      <c r="BK180" s="5" t="s">
        <v>395</v>
      </c>
      <c r="BL180" s="5" t="s">
        <v>395</v>
      </c>
      <c r="BM180" s="5" t="s">
        <v>395</v>
      </c>
      <c r="BN180" s="5" t="s">
        <v>395</v>
      </c>
      <c r="BO180" s="5" t="s">
        <v>395</v>
      </c>
      <c r="BP180" s="5" t="s">
        <v>395</v>
      </c>
      <c r="BQ180" s="5" t="s">
        <v>395</v>
      </c>
      <c r="BR180" s="5" t="s">
        <v>395</v>
      </c>
      <c r="BS180" s="5" t="s">
        <v>395</v>
      </c>
      <c r="BT180" s="5" t="s">
        <v>395</v>
      </c>
      <c r="BU180" s="5" t="s">
        <v>395</v>
      </c>
      <c r="BV180" s="5" t="s">
        <v>395</v>
      </c>
      <c r="BW180" s="5" t="s">
        <v>395</v>
      </c>
      <c r="BX180" s="5" t="s">
        <v>395</v>
      </c>
      <c r="BY180" s="5" t="s">
        <v>395</v>
      </c>
      <c r="BZ180" s="5" t="s">
        <v>395</v>
      </c>
      <c r="CA180" s="5" t="s">
        <v>395</v>
      </c>
      <c r="CB180" s="5" t="s">
        <v>395</v>
      </c>
      <c r="CC180" s="5" t="s">
        <v>395</v>
      </c>
      <c r="CD180" s="5" t="s">
        <v>395</v>
      </c>
      <c r="CE180" s="5" t="s">
        <v>395</v>
      </c>
      <c r="CF180" s="5" t="s">
        <v>395</v>
      </c>
      <c r="CG180" s="5" t="s">
        <v>395</v>
      </c>
      <c r="CH180" s="5" t="s">
        <v>395</v>
      </c>
      <c r="CI180" s="54">
        <v>120</v>
      </c>
      <c r="CJ180" s="54">
        <v>340</v>
      </c>
      <c r="CK180" s="54">
        <v>1200</v>
      </c>
      <c r="CL180" s="54">
        <v>1100</v>
      </c>
      <c r="CM180" s="54">
        <v>2500</v>
      </c>
      <c r="CN180" s="54">
        <v>2100</v>
      </c>
      <c r="CO180" s="54">
        <v>790</v>
      </c>
      <c r="CP180" s="54">
        <v>8200</v>
      </c>
      <c r="CQ180" s="55">
        <v>46.584094456111437</v>
      </c>
      <c r="CR180" s="55">
        <v>20.559460681747506</v>
      </c>
      <c r="CS180" s="55">
        <v>51.305706583746037</v>
      </c>
      <c r="CT180" s="55">
        <v>37.744316203102883</v>
      </c>
      <c r="CU180" s="55">
        <v>12.747875808291212</v>
      </c>
      <c r="CV180" s="55">
        <v>18.068531449058387</v>
      </c>
      <c r="CW180" s="57" t="s">
        <v>119</v>
      </c>
      <c r="CX180" s="57">
        <v>190</v>
      </c>
      <c r="CY180" s="61" t="s">
        <v>120</v>
      </c>
    </row>
    <row r="181" spans="1:103" x14ac:dyDescent="0.3">
      <c r="A181" s="98" t="s">
        <v>21</v>
      </c>
      <c r="B181" s="98" t="s">
        <v>21</v>
      </c>
      <c r="C181" s="132" t="s">
        <v>20</v>
      </c>
      <c r="D181" s="132" t="s">
        <v>125</v>
      </c>
      <c r="E181" s="98"/>
      <c r="F181" s="98"/>
      <c r="G181" s="245">
        <v>41530</v>
      </c>
      <c r="H181" s="1">
        <v>2013</v>
      </c>
      <c r="I181" s="75" t="s">
        <v>33</v>
      </c>
      <c r="J181" s="75">
        <v>10</v>
      </c>
      <c r="K181" s="155">
        <v>0.6</v>
      </c>
      <c r="L181" s="5" t="s">
        <v>395</v>
      </c>
      <c r="M181" s="5" t="s">
        <v>395</v>
      </c>
      <c r="N181" s="5" t="s">
        <v>395</v>
      </c>
      <c r="O181" s="5" t="s">
        <v>395</v>
      </c>
      <c r="P181" s="5" t="s">
        <v>395</v>
      </c>
      <c r="Q181" s="5" t="s">
        <v>395</v>
      </c>
      <c r="R181" s="5" t="s">
        <v>395</v>
      </c>
      <c r="S181" s="5" t="s">
        <v>395</v>
      </c>
      <c r="T181" s="5" t="s">
        <v>395</v>
      </c>
      <c r="U181" s="5" t="s">
        <v>395</v>
      </c>
      <c r="V181" s="5" t="s">
        <v>395</v>
      </c>
      <c r="W181" s="5" t="s">
        <v>395</v>
      </c>
      <c r="X181" s="5" t="s">
        <v>395</v>
      </c>
      <c r="Y181" s="5" t="s">
        <v>395</v>
      </c>
      <c r="Z181" s="5" t="s">
        <v>395</v>
      </c>
      <c r="AA181" s="5" t="s">
        <v>395</v>
      </c>
      <c r="AB181" s="5" t="s">
        <v>395</v>
      </c>
      <c r="AC181" s="5" t="s">
        <v>395</v>
      </c>
      <c r="AD181" s="5" t="s">
        <v>395</v>
      </c>
      <c r="AE181" s="5" t="s">
        <v>395</v>
      </c>
      <c r="AF181" s="5" t="s">
        <v>395</v>
      </c>
      <c r="AG181" s="250" t="s">
        <v>395</v>
      </c>
      <c r="AH181" s="25">
        <f t="shared" si="24"/>
        <v>29.680851063829785</v>
      </c>
      <c r="AI181" s="24">
        <f>BD181/18.8</f>
        <v>6.5957446808510636E-3</v>
      </c>
      <c r="AJ181" s="24" t="s">
        <v>395</v>
      </c>
      <c r="AK181" s="24">
        <f t="shared" si="22"/>
        <v>6.1170212765957438E-2</v>
      </c>
      <c r="AL181" s="24" t="s">
        <v>395</v>
      </c>
      <c r="AM181" s="24" t="s">
        <v>395</v>
      </c>
      <c r="AN181" s="24" t="s">
        <v>395</v>
      </c>
      <c r="AO181" s="24" t="s">
        <v>395</v>
      </c>
      <c r="AP181" s="24" t="s">
        <v>395</v>
      </c>
      <c r="AQ181" s="24" t="s">
        <v>395</v>
      </c>
      <c r="AR181" s="24" t="s">
        <v>395</v>
      </c>
      <c r="AS181" s="5" t="s">
        <v>395</v>
      </c>
      <c r="AT181" s="5" t="s">
        <v>395</v>
      </c>
      <c r="AU181" s="5" t="s">
        <v>395</v>
      </c>
      <c r="AV181" s="5" t="s">
        <v>395</v>
      </c>
      <c r="AW181" s="5" t="s">
        <v>395</v>
      </c>
      <c r="AX181" s="5" t="s">
        <v>395</v>
      </c>
      <c r="AY181" s="5" t="s">
        <v>395</v>
      </c>
      <c r="AZ181" s="5" t="s">
        <v>395</v>
      </c>
      <c r="BA181" s="5" t="s">
        <v>395</v>
      </c>
      <c r="BB181" s="5" t="s">
        <v>395</v>
      </c>
      <c r="BC181" s="24">
        <v>558</v>
      </c>
      <c r="BD181" s="24">
        <v>0.124</v>
      </c>
      <c r="BE181" s="24" t="s">
        <v>160</v>
      </c>
      <c r="BF181" s="24">
        <v>1.1499999999999999</v>
      </c>
      <c r="BG181" s="5" t="s">
        <v>395</v>
      </c>
      <c r="BH181" s="5" t="s">
        <v>395</v>
      </c>
      <c r="BI181" s="5" t="s">
        <v>395</v>
      </c>
      <c r="BJ181" s="5" t="s">
        <v>395</v>
      </c>
      <c r="BK181" s="5" t="s">
        <v>395</v>
      </c>
      <c r="BL181" s="5" t="s">
        <v>395</v>
      </c>
      <c r="BM181" s="5" t="s">
        <v>395</v>
      </c>
      <c r="BN181" s="5" t="s">
        <v>395</v>
      </c>
      <c r="BO181" s="5" t="s">
        <v>395</v>
      </c>
      <c r="BP181" s="5" t="s">
        <v>395</v>
      </c>
      <c r="BQ181" s="5" t="s">
        <v>395</v>
      </c>
      <c r="BR181" s="5" t="s">
        <v>395</v>
      </c>
      <c r="BS181" s="5" t="s">
        <v>395</v>
      </c>
      <c r="BT181" s="5" t="s">
        <v>395</v>
      </c>
      <c r="BU181" s="5" t="s">
        <v>395</v>
      </c>
      <c r="BV181" s="5" t="s">
        <v>395</v>
      </c>
      <c r="BW181" s="5" t="s">
        <v>395</v>
      </c>
      <c r="BX181" s="5" t="s">
        <v>395</v>
      </c>
      <c r="BY181" s="5" t="s">
        <v>395</v>
      </c>
      <c r="BZ181" s="5" t="s">
        <v>395</v>
      </c>
      <c r="CA181" s="5" t="s">
        <v>395</v>
      </c>
      <c r="CB181" s="5" t="s">
        <v>395</v>
      </c>
      <c r="CC181" s="5" t="s">
        <v>395</v>
      </c>
      <c r="CD181" s="5" t="s">
        <v>395</v>
      </c>
      <c r="CE181" s="5" t="s">
        <v>395</v>
      </c>
      <c r="CF181" s="5" t="s">
        <v>395</v>
      </c>
      <c r="CG181" s="5" t="s">
        <v>395</v>
      </c>
      <c r="CH181" s="5" t="s">
        <v>395</v>
      </c>
      <c r="CI181" s="58">
        <v>8.0183398882219432</v>
      </c>
      <c r="CJ181" s="54">
        <v>30.650191001298598</v>
      </c>
      <c r="CK181" s="54">
        <v>370</v>
      </c>
      <c r="CL181" s="54">
        <v>320</v>
      </c>
      <c r="CM181" s="54">
        <v>1600</v>
      </c>
      <c r="CN181" s="54">
        <v>1400</v>
      </c>
      <c r="CO181" s="54">
        <v>550</v>
      </c>
      <c r="CP181" s="54">
        <v>4300</v>
      </c>
      <c r="CQ181" s="55">
        <v>57.933770906985842</v>
      </c>
      <c r="CR181" s="55">
        <v>18.98599518174079</v>
      </c>
      <c r="CS181" s="55">
        <v>30.639660359373163</v>
      </c>
      <c r="CT181" s="56" t="s">
        <v>163</v>
      </c>
      <c r="CU181" s="56">
        <v>8.2103429222489535</v>
      </c>
      <c r="CV181" s="56">
        <v>6.5517017146976286</v>
      </c>
      <c r="CW181" s="56" t="s">
        <v>121</v>
      </c>
      <c r="CX181" s="55">
        <v>120</v>
      </c>
      <c r="CY181" s="60" t="s">
        <v>120</v>
      </c>
    </row>
    <row r="182" spans="1:103" x14ac:dyDescent="0.3">
      <c r="A182" s="98" t="s">
        <v>23</v>
      </c>
      <c r="B182" s="98" t="s">
        <v>23</v>
      </c>
      <c r="C182" s="132" t="s">
        <v>20</v>
      </c>
      <c r="D182" s="132" t="s">
        <v>125</v>
      </c>
      <c r="E182" s="98"/>
      <c r="F182" s="98"/>
      <c r="G182" s="245">
        <v>41513</v>
      </c>
      <c r="H182" s="1">
        <v>2013</v>
      </c>
      <c r="I182" s="75" t="s">
        <v>33</v>
      </c>
      <c r="J182" s="75">
        <v>10</v>
      </c>
      <c r="K182" s="155">
        <v>0.73</v>
      </c>
      <c r="L182" s="5" t="s">
        <v>395</v>
      </c>
      <c r="M182" s="5" t="s">
        <v>395</v>
      </c>
      <c r="N182" s="5" t="s">
        <v>395</v>
      </c>
      <c r="O182" s="5" t="s">
        <v>395</v>
      </c>
      <c r="P182" s="5" t="s">
        <v>395</v>
      </c>
      <c r="Q182" s="5" t="s">
        <v>395</v>
      </c>
      <c r="R182" s="5" t="s">
        <v>395</v>
      </c>
      <c r="S182" s="5" t="s">
        <v>395</v>
      </c>
      <c r="T182" s="5" t="s">
        <v>395</v>
      </c>
      <c r="U182" s="5" t="s">
        <v>395</v>
      </c>
      <c r="V182" s="5" t="s">
        <v>395</v>
      </c>
      <c r="W182" s="5" t="s">
        <v>395</v>
      </c>
      <c r="X182" s="5" t="s">
        <v>395</v>
      </c>
      <c r="Y182" s="5" t="s">
        <v>395</v>
      </c>
      <c r="Z182" s="5" t="s">
        <v>395</v>
      </c>
      <c r="AA182" s="5" t="s">
        <v>395</v>
      </c>
      <c r="AB182" s="5" t="s">
        <v>395</v>
      </c>
      <c r="AC182" s="5" t="s">
        <v>395</v>
      </c>
      <c r="AD182" s="5" t="s">
        <v>395</v>
      </c>
      <c r="AE182" s="5" t="s">
        <v>395</v>
      </c>
      <c r="AF182" s="5" t="s">
        <v>395</v>
      </c>
      <c r="AG182" s="250" t="s">
        <v>395</v>
      </c>
      <c r="AH182" s="25">
        <f t="shared" si="24"/>
        <v>19.148936170212764</v>
      </c>
      <c r="AI182" s="24" t="s">
        <v>395</v>
      </c>
      <c r="AJ182" s="24" t="s">
        <v>395</v>
      </c>
      <c r="AK182" s="24" t="s">
        <v>395</v>
      </c>
      <c r="AL182" s="24" t="s">
        <v>395</v>
      </c>
      <c r="AM182" s="24" t="s">
        <v>395</v>
      </c>
      <c r="AN182" s="24" t="s">
        <v>395</v>
      </c>
      <c r="AO182" s="24" t="s">
        <v>395</v>
      </c>
      <c r="AP182" s="24" t="s">
        <v>395</v>
      </c>
      <c r="AQ182" s="24" t="s">
        <v>395</v>
      </c>
      <c r="AR182" s="24" t="s">
        <v>395</v>
      </c>
      <c r="AS182" s="5" t="s">
        <v>395</v>
      </c>
      <c r="AT182" s="5" t="s">
        <v>395</v>
      </c>
      <c r="AU182" s="5" t="s">
        <v>395</v>
      </c>
      <c r="AV182" s="5" t="s">
        <v>395</v>
      </c>
      <c r="AW182" s="5" t="s">
        <v>395</v>
      </c>
      <c r="AX182" s="5" t="s">
        <v>395</v>
      </c>
      <c r="AY182" s="5" t="s">
        <v>395</v>
      </c>
      <c r="AZ182" s="5" t="s">
        <v>395</v>
      </c>
      <c r="BA182" s="5" t="s">
        <v>395</v>
      </c>
      <c r="BB182" s="5" t="s">
        <v>395</v>
      </c>
      <c r="BC182" s="24">
        <v>360</v>
      </c>
      <c r="BD182" s="24" t="s">
        <v>160</v>
      </c>
      <c r="BE182" s="24" t="s">
        <v>160</v>
      </c>
      <c r="BF182" s="24" t="s">
        <v>160</v>
      </c>
      <c r="BG182" s="5" t="s">
        <v>395</v>
      </c>
      <c r="BH182" s="5" t="s">
        <v>395</v>
      </c>
      <c r="BI182" s="5" t="s">
        <v>395</v>
      </c>
      <c r="BJ182" s="5" t="s">
        <v>395</v>
      </c>
      <c r="BK182" s="5" t="s">
        <v>395</v>
      </c>
      <c r="BL182" s="5" t="s">
        <v>395</v>
      </c>
      <c r="BM182" s="5" t="s">
        <v>395</v>
      </c>
      <c r="BN182" s="5" t="s">
        <v>395</v>
      </c>
      <c r="BO182" s="5" t="s">
        <v>395</v>
      </c>
      <c r="BP182" s="5" t="s">
        <v>395</v>
      </c>
      <c r="BQ182" s="5" t="s">
        <v>395</v>
      </c>
      <c r="BR182" s="5" t="s">
        <v>395</v>
      </c>
      <c r="BS182" s="5" t="s">
        <v>395</v>
      </c>
      <c r="BT182" s="5" t="s">
        <v>395</v>
      </c>
      <c r="BU182" s="5" t="s">
        <v>395</v>
      </c>
      <c r="BV182" s="5" t="s">
        <v>395</v>
      </c>
      <c r="BW182" s="5" t="s">
        <v>395</v>
      </c>
      <c r="BX182" s="5" t="s">
        <v>395</v>
      </c>
      <c r="BY182" s="5" t="s">
        <v>395</v>
      </c>
      <c r="BZ182" s="5" t="s">
        <v>395</v>
      </c>
      <c r="CA182" s="5" t="s">
        <v>395</v>
      </c>
      <c r="CB182" s="5" t="s">
        <v>395</v>
      </c>
      <c r="CC182" s="5" t="s">
        <v>395</v>
      </c>
      <c r="CD182" s="5" t="s">
        <v>395</v>
      </c>
      <c r="CE182" s="5" t="s">
        <v>395</v>
      </c>
      <c r="CF182" s="5" t="s">
        <v>395</v>
      </c>
      <c r="CG182" s="5" t="s">
        <v>395</v>
      </c>
      <c r="CH182" s="5" t="s">
        <v>395</v>
      </c>
      <c r="CI182" s="54">
        <v>61.560161717595648</v>
      </c>
      <c r="CJ182" s="54">
        <v>340</v>
      </c>
      <c r="CK182" s="54">
        <v>1400</v>
      </c>
      <c r="CL182" s="54">
        <v>940</v>
      </c>
      <c r="CM182" s="54">
        <v>2100</v>
      </c>
      <c r="CN182" s="54">
        <v>1900</v>
      </c>
      <c r="CO182" s="54">
        <v>630</v>
      </c>
      <c r="CP182" s="54">
        <v>7400</v>
      </c>
      <c r="CQ182" s="55">
        <v>18.704234802340103</v>
      </c>
      <c r="CR182" s="56">
        <v>6.8320857661242291</v>
      </c>
      <c r="CS182" s="56">
        <v>5.3088666444965327</v>
      </c>
      <c r="CT182" s="56">
        <v>5.4840794016211065</v>
      </c>
      <c r="CU182" s="56">
        <v>3.0185331016054282</v>
      </c>
      <c r="CV182" s="56">
        <v>7.1232894217295248</v>
      </c>
      <c r="CW182" s="55" t="s">
        <v>122</v>
      </c>
      <c r="CX182" s="55">
        <v>46</v>
      </c>
      <c r="CY182" s="60" t="s">
        <v>123</v>
      </c>
    </row>
    <row r="183" spans="1:103" x14ac:dyDescent="0.3">
      <c r="A183" s="98" t="s">
        <v>112</v>
      </c>
      <c r="B183" s="98" t="s">
        <v>24</v>
      </c>
      <c r="C183" s="132" t="s">
        <v>20</v>
      </c>
      <c r="D183" s="132" t="s">
        <v>125</v>
      </c>
      <c r="E183" s="98"/>
      <c r="F183" s="98"/>
      <c r="G183" s="245">
        <v>41146</v>
      </c>
      <c r="H183" s="1">
        <v>2012</v>
      </c>
      <c r="I183" s="75" t="s">
        <v>33</v>
      </c>
      <c r="J183" s="75">
        <v>10</v>
      </c>
      <c r="K183" s="155">
        <v>3.3</v>
      </c>
      <c r="L183" s="5" t="s">
        <v>395</v>
      </c>
      <c r="M183" s="254" t="s">
        <v>38</v>
      </c>
      <c r="N183" s="254">
        <v>0.25</v>
      </c>
      <c r="O183" s="254">
        <v>0.51</v>
      </c>
      <c r="P183" s="254">
        <v>0.44</v>
      </c>
      <c r="Q183" s="254">
        <v>0.71</v>
      </c>
      <c r="R183" s="254">
        <v>0.56999999999999995</v>
      </c>
      <c r="S183" s="32">
        <v>0.27</v>
      </c>
      <c r="T183" s="24">
        <f t="shared" ref="T183:T189" si="25">SUM(M183:S183)</f>
        <v>2.75</v>
      </c>
      <c r="U183" s="5">
        <f t="shared" si="18"/>
        <v>3.5</v>
      </c>
      <c r="V183" s="32" t="s">
        <v>83</v>
      </c>
      <c r="W183" s="32" t="s">
        <v>59</v>
      </c>
      <c r="X183" s="32" t="s">
        <v>94</v>
      </c>
      <c r="Y183" s="32" t="s">
        <v>95</v>
      </c>
      <c r="Z183" s="24" t="s">
        <v>395</v>
      </c>
      <c r="AA183" s="32" t="s">
        <v>99</v>
      </c>
      <c r="AB183" s="32" t="s">
        <v>103</v>
      </c>
      <c r="AC183" s="32" t="s">
        <v>105</v>
      </c>
      <c r="AD183" s="5" t="s">
        <v>395</v>
      </c>
      <c r="AE183" s="5">
        <f>SUM(V183,W183,Y183,X183,AB183,AA183)</f>
        <v>0</v>
      </c>
      <c r="AF183" s="254" t="s">
        <v>46</v>
      </c>
      <c r="AG183" s="250" t="s">
        <v>395</v>
      </c>
      <c r="AH183" s="25">
        <f t="shared" si="24"/>
        <v>7.4468085106382977</v>
      </c>
      <c r="AI183" s="25" t="s">
        <v>395</v>
      </c>
      <c r="AJ183" s="25" t="s">
        <v>395</v>
      </c>
      <c r="AK183" s="25" t="s">
        <v>395</v>
      </c>
      <c r="AL183" s="25" t="s">
        <v>395</v>
      </c>
      <c r="AM183" s="25" t="s">
        <v>395</v>
      </c>
      <c r="AN183" s="25">
        <f>BI183/18.8</f>
        <v>0.36170212765957444</v>
      </c>
      <c r="AO183" s="25">
        <f>BJ183/18.8</f>
        <v>7.4468085106382975E-2</v>
      </c>
      <c r="AP183" s="25" t="s">
        <v>395</v>
      </c>
      <c r="AQ183" s="25">
        <f>BL183/18.8</f>
        <v>0.63829787234042545</v>
      </c>
      <c r="AR183" s="25">
        <f>BM183/18.8</f>
        <v>0.53191489361702127</v>
      </c>
      <c r="AS183" s="5" t="s">
        <v>395</v>
      </c>
      <c r="AT183" s="5" t="s">
        <v>395</v>
      </c>
      <c r="AU183" s="5" t="s">
        <v>395</v>
      </c>
      <c r="AV183" s="5" t="s">
        <v>395</v>
      </c>
      <c r="AW183" s="5" t="s">
        <v>395</v>
      </c>
      <c r="AX183" s="5" t="s">
        <v>395</v>
      </c>
      <c r="AY183" s="5" t="s">
        <v>395</v>
      </c>
      <c r="AZ183" s="5" t="s">
        <v>395</v>
      </c>
      <c r="BA183" s="5" t="s">
        <v>395</v>
      </c>
      <c r="BB183" s="5" t="s">
        <v>395</v>
      </c>
      <c r="BC183" s="254">
        <v>140</v>
      </c>
      <c r="BD183" s="254" t="s">
        <v>44</v>
      </c>
      <c r="BE183" s="254" t="s">
        <v>143</v>
      </c>
      <c r="BF183" s="254" t="s">
        <v>54</v>
      </c>
      <c r="BG183" s="254" t="s">
        <v>43</v>
      </c>
      <c r="BH183" s="254" t="s">
        <v>44</v>
      </c>
      <c r="BI183" s="254">
        <v>6.8</v>
      </c>
      <c r="BJ183" s="254">
        <v>1.4</v>
      </c>
      <c r="BK183" s="254" t="s">
        <v>44</v>
      </c>
      <c r="BL183" s="254">
        <v>12</v>
      </c>
      <c r="BM183" s="254">
        <v>10</v>
      </c>
      <c r="BN183" s="5" t="s">
        <v>395</v>
      </c>
      <c r="BO183" s="5" t="s">
        <v>395</v>
      </c>
      <c r="BP183" s="5" t="s">
        <v>395</v>
      </c>
      <c r="BQ183" s="5" t="s">
        <v>395</v>
      </c>
      <c r="BR183" s="5" t="s">
        <v>395</v>
      </c>
      <c r="BS183" s="5" t="s">
        <v>395</v>
      </c>
      <c r="BT183" s="5" t="s">
        <v>395</v>
      </c>
      <c r="BU183" s="5" t="s">
        <v>395</v>
      </c>
      <c r="BV183" s="5" t="s">
        <v>395</v>
      </c>
      <c r="BW183" s="5" t="s">
        <v>395</v>
      </c>
      <c r="BX183" s="5" t="s">
        <v>395</v>
      </c>
      <c r="BY183" s="5" t="s">
        <v>395</v>
      </c>
      <c r="BZ183" s="5" t="s">
        <v>395</v>
      </c>
      <c r="CA183" s="5" t="s">
        <v>395</v>
      </c>
      <c r="CB183" s="5" t="s">
        <v>395</v>
      </c>
      <c r="CC183" s="5" t="s">
        <v>395</v>
      </c>
      <c r="CD183" s="5" t="s">
        <v>395</v>
      </c>
      <c r="CE183" s="5" t="s">
        <v>395</v>
      </c>
      <c r="CF183" s="5" t="s">
        <v>395</v>
      </c>
      <c r="CG183" s="5" t="s">
        <v>395</v>
      </c>
      <c r="CH183" s="5" t="s">
        <v>395</v>
      </c>
      <c r="CI183" s="5" t="s">
        <v>395</v>
      </c>
      <c r="CJ183" s="5" t="s">
        <v>395</v>
      </c>
      <c r="CK183" s="5" t="s">
        <v>395</v>
      </c>
      <c r="CL183" s="5" t="s">
        <v>395</v>
      </c>
      <c r="CM183" s="5" t="s">
        <v>395</v>
      </c>
      <c r="CN183" s="5" t="s">
        <v>395</v>
      </c>
      <c r="CO183" s="5" t="s">
        <v>395</v>
      </c>
      <c r="CP183" s="5" t="s">
        <v>395</v>
      </c>
      <c r="CQ183" s="5" t="s">
        <v>395</v>
      </c>
      <c r="CR183" s="5" t="s">
        <v>395</v>
      </c>
      <c r="CS183" s="5" t="s">
        <v>395</v>
      </c>
      <c r="CT183" s="5" t="s">
        <v>395</v>
      </c>
      <c r="CU183" s="5" t="s">
        <v>395</v>
      </c>
      <c r="CV183" s="5" t="s">
        <v>395</v>
      </c>
      <c r="CW183" s="5" t="s">
        <v>395</v>
      </c>
      <c r="CX183" s="5" t="s">
        <v>395</v>
      </c>
      <c r="CY183" s="252" t="s">
        <v>395</v>
      </c>
    </row>
    <row r="184" spans="1:103" x14ac:dyDescent="0.3">
      <c r="A184" s="98" t="s">
        <v>26</v>
      </c>
      <c r="B184" s="98" t="s">
        <v>26</v>
      </c>
      <c r="C184" s="132" t="s">
        <v>20</v>
      </c>
      <c r="D184" s="132" t="s">
        <v>125</v>
      </c>
      <c r="E184" s="98"/>
      <c r="F184" s="98"/>
      <c r="G184" s="245">
        <v>41155</v>
      </c>
      <c r="H184" s="1">
        <v>2012</v>
      </c>
      <c r="I184" s="75" t="s">
        <v>33</v>
      </c>
      <c r="J184" s="75">
        <v>5</v>
      </c>
      <c r="K184" s="155">
        <v>1.1000000000000001</v>
      </c>
      <c r="L184" s="5" t="s">
        <v>395</v>
      </c>
      <c r="M184" s="254" t="s">
        <v>47</v>
      </c>
      <c r="N184" s="254" t="s">
        <v>49</v>
      </c>
      <c r="O184" s="254" t="s">
        <v>144</v>
      </c>
      <c r="P184" s="254" t="s">
        <v>52</v>
      </c>
      <c r="Q184" s="254" t="s">
        <v>145</v>
      </c>
      <c r="R184" s="254" t="s">
        <v>65</v>
      </c>
      <c r="S184" s="32" t="s">
        <v>53</v>
      </c>
      <c r="T184" s="24">
        <f t="shared" si="25"/>
        <v>0</v>
      </c>
      <c r="U184" s="5">
        <f t="shared" si="18"/>
        <v>0</v>
      </c>
      <c r="V184" s="32" t="s">
        <v>84</v>
      </c>
      <c r="W184" s="32" t="s">
        <v>88</v>
      </c>
      <c r="X184" s="32" t="s">
        <v>93</v>
      </c>
      <c r="Y184" s="32" t="s">
        <v>96</v>
      </c>
      <c r="Z184" s="24" t="s">
        <v>395</v>
      </c>
      <c r="AA184" s="32" t="s">
        <v>100</v>
      </c>
      <c r="AB184" s="32" t="s">
        <v>91</v>
      </c>
      <c r="AC184" s="32" t="s">
        <v>106</v>
      </c>
      <c r="AD184" s="5" t="s">
        <v>395</v>
      </c>
      <c r="AE184" s="5">
        <f t="shared" ref="AE184:AE214" si="26">SUM(V184,W184,Y184,X184,AB184,AA184)</f>
        <v>0</v>
      </c>
      <c r="AF184" s="5" t="s">
        <v>395</v>
      </c>
      <c r="AG184" s="250" t="s">
        <v>395</v>
      </c>
      <c r="AH184" s="25">
        <f t="shared" si="24"/>
        <v>5.3191489361702127</v>
      </c>
      <c r="AI184" s="25" t="s">
        <v>395</v>
      </c>
      <c r="AJ184" s="25" t="s">
        <v>395</v>
      </c>
      <c r="AK184" s="25" t="s">
        <v>395</v>
      </c>
      <c r="AL184" s="25" t="s">
        <v>395</v>
      </c>
      <c r="AM184" s="25" t="s">
        <v>395</v>
      </c>
      <c r="AN184" s="25">
        <f t="shared" ref="AN184:AN189" si="27">BI184/18.8</f>
        <v>0.24468085106382975</v>
      </c>
      <c r="AO184" s="25" t="s">
        <v>395</v>
      </c>
      <c r="AP184" s="25" t="s">
        <v>395</v>
      </c>
      <c r="AQ184" s="25">
        <f t="shared" ref="AQ184:AQ189" si="28">BL184/18.8</f>
        <v>0.14893617021276595</v>
      </c>
      <c r="AR184" s="25" t="s">
        <v>395</v>
      </c>
      <c r="AS184" s="5" t="s">
        <v>395</v>
      </c>
      <c r="AT184" s="5" t="s">
        <v>395</v>
      </c>
      <c r="AU184" s="5" t="s">
        <v>395</v>
      </c>
      <c r="AV184" s="5" t="s">
        <v>395</v>
      </c>
      <c r="AW184" s="5" t="s">
        <v>395</v>
      </c>
      <c r="AX184" s="5" t="s">
        <v>395</v>
      </c>
      <c r="AY184" s="5" t="s">
        <v>395</v>
      </c>
      <c r="AZ184" s="5" t="s">
        <v>395</v>
      </c>
      <c r="BA184" s="5" t="s">
        <v>395</v>
      </c>
      <c r="BB184" s="5" t="s">
        <v>395</v>
      </c>
      <c r="BC184" s="254">
        <v>100</v>
      </c>
      <c r="BD184" s="254" t="s">
        <v>143</v>
      </c>
      <c r="BE184" s="254" t="s">
        <v>146</v>
      </c>
      <c r="BF184" s="254" t="s">
        <v>54</v>
      </c>
      <c r="BG184" s="254" t="s">
        <v>146</v>
      </c>
      <c r="BH184" s="254" t="s">
        <v>54</v>
      </c>
      <c r="BI184" s="254">
        <v>4.5999999999999996</v>
      </c>
      <c r="BJ184" s="254" t="s">
        <v>54</v>
      </c>
      <c r="BK184" s="254" t="s">
        <v>44</v>
      </c>
      <c r="BL184" s="254">
        <v>2.8</v>
      </c>
      <c r="BM184" s="254" t="s">
        <v>143</v>
      </c>
      <c r="BN184" s="5" t="s">
        <v>395</v>
      </c>
      <c r="BO184" s="5" t="s">
        <v>395</v>
      </c>
      <c r="BP184" s="5" t="s">
        <v>395</v>
      </c>
      <c r="BQ184" s="5" t="s">
        <v>395</v>
      </c>
      <c r="BR184" s="5" t="s">
        <v>395</v>
      </c>
      <c r="BS184" s="5" t="s">
        <v>395</v>
      </c>
      <c r="BT184" s="5" t="s">
        <v>395</v>
      </c>
      <c r="BU184" s="5" t="s">
        <v>395</v>
      </c>
      <c r="BV184" s="5" t="s">
        <v>395</v>
      </c>
      <c r="BW184" s="5" t="s">
        <v>395</v>
      </c>
      <c r="BX184" s="5" t="s">
        <v>395</v>
      </c>
      <c r="BY184" s="5" t="s">
        <v>395</v>
      </c>
      <c r="BZ184" s="5" t="s">
        <v>395</v>
      </c>
      <c r="CA184" s="5" t="s">
        <v>395</v>
      </c>
      <c r="CB184" s="5" t="s">
        <v>395</v>
      </c>
      <c r="CC184" s="5" t="s">
        <v>395</v>
      </c>
      <c r="CD184" s="5" t="s">
        <v>395</v>
      </c>
      <c r="CE184" s="5" t="s">
        <v>395</v>
      </c>
      <c r="CF184" s="5" t="s">
        <v>395</v>
      </c>
      <c r="CG184" s="5" t="s">
        <v>395</v>
      </c>
      <c r="CH184" s="5" t="s">
        <v>395</v>
      </c>
      <c r="CI184" s="5" t="s">
        <v>395</v>
      </c>
      <c r="CJ184" s="5" t="s">
        <v>395</v>
      </c>
      <c r="CK184" s="5" t="s">
        <v>395</v>
      </c>
      <c r="CL184" s="5" t="s">
        <v>395</v>
      </c>
      <c r="CM184" s="5" t="s">
        <v>395</v>
      </c>
      <c r="CN184" s="5" t="s">
        <v>395</v>
      </c>
      <c r="CO184" s="5" t="s">
        <v>395</v>
      </c>
      <c r="CP184" s="5" t="s">
        <v>395</v>
      </c>
      <c r="CQ184" s="5" t="s">
        <v>395</v>
      </c>
      <c r="CR184" s="5" t="s">
        <v>395</v>
      </c>
      <c r="CS184" s="5" t="s">
        <v>395</v>
      </c>
      <c r="CT184" s="5" t="s">
        <v>395</v>
      </c>
      <c r="CU184" s="5" t="s">
        <v>395</v>
      </c>
      <c r="CV184" s="5" t="s">
        <v>395</v>
      </c>
      <c r="CW184" s="5" t="s">
        <v>395</v>
      </c>
      <c r="CX184" s="5" t="s">
        <v>395</v>
      </c>
      <c r="CY184" s="252" t="s">
        <v>395</v>
      </c>
    </row>
    <row r="185" spans="1:103" x14ac:dyDescent="0.3">
      <c r="A185" s="98" t="s">
        <v>7</v>
      </c>
      <c r="B185" s="98" t="s">
        <v>7</v>
      </c>
      <c r="C185" s="132" t="s">
        <v>20</v>
      </c>
      <c r="D185" s="132" t="s">
        <v>125</v>
      </c>
      <c r="E185" s="98"/>
      <c r="F185" s="98"/>
      <c r="G185" s="245">
        <v>41128</v>
      </c>
      <c r="H185" s="1">
        <v>2012</v>
      </c>
      <c r="I185" s="75" t="s">
        <v>33</v>
      </c>
      <c r="J185" s="75">
        <v>6</v>
      </c>
      <c r="K185" s="155">
        <v>1.4</v>
      </c>
      <c r="L185" s="5" t="s">
        <v>395</v>
      </c>
      <c r="M185" s="254" t="s">
        <v>48</v>
      </c>
      <c r="N185" s="254" t="s">
        <v>50</v>
      </c>
      <c r="O185" s="254" t="s">
        <v>55</v>
      </c>
      <c r="P185" s="254" t="s">
        <v>65</v>
      </c>
      <c r="Q185" s="254" t="s">
        <v>147</v>
      </c>
      <c r="R185" s="254" t="s">
        <v>69</v>
      </c>
      <c r="S185" s="32" t="s">
        <v>55</v>
      </c>
      <c r="T185" s="24">
        <f t="shared" si="25"/>
        <v>0</v>
      </c>
      <c r="U185" s="5">
        <f t="shared" si="18"/>
        <v>0</v>
      </c>
      <c r="V185" s="32" t="s">
        <v>85</v>
      </c>
      <c r="W185" s="32" t="s">
        <v>89</v>
      </c>
      <c r="X185" s="32" t="s">
        <v>92</v>
      </c>
      <c r="Y185" s="32" t="s">
        <v>97</v>
      </c>
      <c r="Z185" s="24" t="s">
        <v>395</v>
      </c>
      <c r="AA185" s="32" t="s">
        <v>101</v>
      </c>
      <c r="AB185" s="32" t="s">
        <v>94</v>
      </c>
      <c r="AC185" s="32" t="s">
        <v>107</v>
      </c>
      <c r="AD185" s="5" t="s">
        <v>395</v>
      </c>
      <c r="AE185" s="5">
        <f t="shared" si="26"/>
        <v>0</v>
      </c>
      <c r="AF185" s="5" t="s">
        <v>395</v>
      </c>
      <c r="AG185" s="250" t="s">
        <v>395</v>
      </c>
      <c r="AH185" s="25">
        <f t="shared" si="24"/>
        <v>8.5106382978723403</v>
      </c>
      <c r="AI185" s="25" t="s">
        <v>395</v>
      </c>
      <c r="AJ185" s="25" t="s">
        <v>395</v>
      </c>
      <c r="AK185" s="25" t="s">
        <v>395</v>
      </c>
      <c r="AL185" s="25" t="s">
        <v>395</v>
      </c>
      <c r="AM185" s="25" t="s">
        <v>395</v>
      </c>
      <c r="AN185" s="25">
        <f t="shared" si="27"/>
        <v>1.0638297872340425</v>
      </c>
      <c r="AO185" s="25">
        <f>BJ185/18.8</f>
        <v>0.53191489361702127</v>
      </c>
      <c r="AP185" s="25" t="s">
        <v>395</v>
      </c>
      <c r="AQ185" s="25">
        <f t="shared" si="28"/>
        <v>0.63829787234042545</v>
      </c>
      <c r="AR185" s="25">
        <f>BM185/18.8</f>
        <v>0.85106382978723405</v>
      </c>
      <c r="AS185" s="5" t="s">
        <v>395</v>
      </c>
      <c r="AT185" s="5" t="s">
        <v>395</v>
      </c>
      <c r="AU185" s="5" t="s">
        <v>395</v>
      </c>
      <c r="AV185" s="5" t="s">
        <v>395</v>
      </c>
      <c r="AW185" s="5" t="s">
        <v>395</v>
      </c>
      <c r="AX185" s="5" t="s">
        <v>395</v>
      </c>
      <c r="AY185" s="5" t="s">
        <v>395</v>
      </c>
      <c r="AZ185" s="5" t="s">
        <v>395</v>
      </c>
      <c r="BA185" s="5" t="s">
        <v>395</v>
      </c>
      <c r="BB185" s="5" t="s">
        <v>395</v>
      </c>
      <c r="BC185" s="254">
        <v>160</v>
      </c>
      <c r="BD185" s="254" t="s">
        <v>54</v>
      </c>
      <c r="BE185" s="254" t="s">
        <v>143</v>
      </c>
      <c r="BF185" s="254" t="s">
        <v>54</v>
      </c>
      <c r="BG185" s="254" t="s">
        <v>146</v>
      </c>
      <c r="BH185" s="254" t="s">
        <v>54</v>
      </c>
      <c r="BI185" s="254">
        <v>20</v>
      </c>
      <c r="BJ185" s="254">
        <v>10</v>
      </c>
      <c r="BK185" s="254" t="s">
        <v>44</v>
      </c>
      <c r="BL185" s="254">
        <v>12</v>
      </c>
      <c r="BM185" s="254">
        <v>16</v>
      </c>
      <c r="BN185" s="5" t="s">
        <v>395</v>
      </c>
      <c r="BO185" s="5" t="s">
        <v>395</v>
      </c>
      <c r="BP185" s="5" t="s">
        <v>395</v>
      </c>
      <c r="BQ185" s="5" t="s">
        <v>395</v>
      </c>
      <c r="BR185" s="5" t="s">
        <v>395</v>
      </c>
      <c r="BS185" s="5" t="s">
        <v>395</v>
      </c>
      <c r="BT185" s="5" t="s">
        <v>395</v>
      </c>
      <c r="BU185" s="5" t="s">
        <v>395</v>
      </c>
      <c r="BV185" s="5" t="s">
        <v>395</v>
      </c>
      <c r="BW185" s="5" t="s">
        <v>395</v>
      </c>
      <c r="BX185" s="5" t="s">
        <v>395</v>
      </c>
      <c r="BY185" s="5" t="s">
        <v>395</v>
      </c>
      <c r="BZ185" s="5" t="s">
        <v>395</v>
      </c>
      <c r="CA185" s="5" t="s">
        <v>395</v>
      </c>
      <c r="CB185" s="5" t="s">
        <v>395</v>
      </c>
      <c r="CC185" s="5" t="s">
        <v>395</v>
      </c>
      <c r="CD185" s="5" t="s">
        <v>395</v>
      </c>
      <c r="CE185" s="5" t="s">
        <v>395</v>
      </c>
      <c r="CF185" s="5" t="s">
        <v>395</v>
      </c>
      <c r="CG185" s="5" t="s">
        <v>395</v>
      </c>
      <c r="CH185" s="5" t="s">
        <v>395</v>
      </c>
      <c r="CI185" s="5" t="s">
        <v>395</v>
      </c>
      <c r="CJ185" s="5" t="s">
        <v>395</v>
      </c>
      <c r="CK185" s="5" t="s">
        <v>395</v>
      </c>
      <c r="CL185" s="5" t="s">
        <v>395</v>
      </c>
      <c r="CM185" s="5" t="s">
        <v>395</v>
      </c>
      <c r="CN185" s="5" t="s">
        <v>395</v>
      </c>
      <c r="CO185" s="5" t="s">
        <v>395</v>
      </c>
      <c r="CP185" s="5" t="s">
        <v>395</v>
      </c>
      <c r="CQ185" s="5" t="s">
        <v>395</v>
      </c>
      <c r="CR185" s="5" t="s">
        <v>395</v>
      </c>
      <c r="CS185" s="5" t="s">
        <v>395</v>
      </c>
      <c r="CT185" s="5" t="s">
        <v>395</v>
      </c>
      <c r="CU185" s="5" t="s">
        <v>395</v>
      </c>
      <c r="CV185" s="5" t="s">
        <v>395</v>
      </c>
      <c r="CW185" s="5" t="s">
        <v>395</v>
      </c>
      <c r="CX185" s="5" t="s">
        <v>395</v>
      </c>
      <c r="CY185" s="252" t="s">
        <v>395</v>
      </c>
    </row>
    <row r="186" spans="1:103" x14ac:dyDescent="0.3">
      <c r="A186" s="98" t="s">
        <v>22</v>
      </c>
      <c r="B186" s="98" t="s">
        <v>22</v>
      </c>
      <c r="C186" s="132" t="s">
        <v>20</v>
      </c>
      <c r="D186" s="132" t="s">
        <v>125</v>
      </c>
      <c r="E186" s="98"/>
      <c r="F186" s="98"/>
      <c r="G186" s="245">
        <v>41127</v>
      </c>
      <c r="H186" s="1">
        <v>2012</v>
      </c>
      <c r="I186" s="75" t="s">
        <v>33</v>
      </c>
      <c r="J186" s="75">
        <v>6</v>
      </c>
      <c r="K186" s="155">
        <v>1.2</v>
      </c>
      <c r="L186" s="5" t="s">
        <v>395</v>
      </c>
      <c r="M186" s="254" t="s">
        <v>148</v>
      </c>
      <c r="N186" s="254">
        <v>0.74</v>
      </c>
      <c r="O186" s="254">
        <v>1.2</v>
      </c>
      <c r="P186" s="254">
        <v>0.83</v>
      </c>
      <c r="Q186" s="254">
        <v>1.7</v>
      </c>
      <c r="R186" s="254">
        <v>1.1000000000000001</v>
      </c>
      <c r="S186" s="32">
        <v>0.62</v>
      </c>
      <c r="T186" s="24">
        <f t="shared" si="25"/>
        <v>6.19</v>
      </c>
      <c r="U186" s="5">
        <f t="shared" si="18"/>
        <v>22.333333333333336</v>
      </c>
      <c r="V186" s="32" t="s">
        <v>86</v>
      </c>
      <c r="W186" s="32">
        <v>3.1E-2</v>
      </c>
      <c r="X186" s="32">
        <v>9.4000000000000004E-3</v>
      </c>
      <c r="Y186" s="32">
        <v>0.03</v>
      </c>
      <c r="Z186" s="24" t="s">
        <v>395</v>
      </c>
      <c r="AA186" s="32">
        <v>4.1000000000000003E-3</v>
      </c>
      <c r="AB186" s="32" t="s">
        <v>63</v>
      </c>
      <c r="AC186" s="32" t="s">
        <v>40</v>
      </c>
      <c r="AD186" s="5" t="s">
        <v>395</v>
      </c>
      <c r="AE186" s="5">
        <f t="shared" si="26"/>
        <v>7.4500000000000011E-2</v>
      </c>
      <c r="AF186" s="5" t="s">
        <v>395</v>
      </c>
      <c r="AG186" s="250" t="s">
        <v>395</v>
      </c>
      <c r="AH186" s="25">
        <f t="shared" si="24"/>
        <v>19.148936170212764</v>
      </c>
      <c r="AI186" s="25" t="s">
        <v>395</v>
      </c>
      <c r="AJ186" s="25" t="s">
        <v>395</v>
      </c>
      <c r="AK186" s="25" t="s">
        <v>395</v>
      </c>
      <c r="AL186" s="25" t="s">
        <v>395</v>
      </c>
      <c r="AM186" s="25" t="s">
        <v>395</v>
      </c>
      <c r="AN186" s="25">
        <f t="shared" si="27"/>
        <v>0.30319148936170215</v>
      </c>
      <c r="AO186" s="25">
        <f>BJ186/18.8</f>
        <v>0.12234042553191488</v>
      </c>
      <c r="AP186" s="25" t="s">
        <v>395</v>
      </c>
      <c r="AQ186" s="25">
        <f t="shared" si="28"/>
        <v>0.30851063829787234</v>
      </c>
      <c r="AR186" s="25">
        <f>BM186/18.8</f>
        <v>0.63829787234042545</v>
      </c>
      <c r="AS186" s="5" t="s">
        <v>395</v>
      </c>
      <c r="AT186" s="5" t="s">
        <v>395</v>
      </c>
      <c r="AU186" s="5" t="s">
        <v>395</v>
      </c>
      <c r="AV186" s="5" t="s">
        <v>395</v>
      </c>
      <c r="AW186" s="5" t="s">
        <v>395</v>
      </c>
      <c r="AX186" s="5" t="s">
        <v>395</v>
      </c>
      <c r="AY186" s="5" t="s">
        <v>395</v>
      </c>
      <c r="AZ186" s="5" t="s">
        <v>395</v>
      </c>
      <c r="BA186" s="5" t="s">
        <v>395</v>
      </c>
      <c r="BB186" s="5" t="s">
        <v>395</v>
      </c>
      <c r="BC186" s="254">
        <v>360</v>
      </c>
      <c r="BD186" s="254" t="s">
        <v>149</v>
      </c>
      <c r="BE186" s="254" t="s">
        <v>143</v>
      </c>
      <c r="BF186" s="254" t="s">
        <v>54</v>
      </c>
      <c r="BG186" s="254" t="s">
        <v>146</v>
      </c>
      <c r="BH186" s="254" t="s">
        <v>54</v>
      </c>
      <c r="BI186" s="254">
        <v>5.7</v>
      </c>
      <c r="BJ186" s="254">
        <v>2.2999999999999998</v>
      </c>
      <c r="BK186" s="254" t="s">
        <v>44</v>
      </c>
      <c r="BL186" s="254">
        <v>5.8</v>
      </c>
      <c r="BM186" s="254">
        <v>12</v>
      </c>
      <c r="BN186" s="5" t="s">
        <v>395</v>
      </c>
      <c r="BO186" s="5" t="s">
        <v>395</v>
      </c>
      <c r="BP186" s="5" t="s">
        <v>395</v>
      </c>
      <c r="BQ186" s="5" t="s">
        <v>395</v>
      </c>
      <c r="BR186" s="5" t="s">
        <v>395</v>
      </c>
      <c r="BS186" s="5" t="s">
        <v>395</v>
      </c>
      <c r="BT186" s="5" t="s">
        <v>395</v>
      </c>
      <c r="BU186" s="5" t="s">
        <v>395</v>
      </c>
      <c r="BV186" s="5" t="s">
        <v>395</v>
      </c>
      <c r="BW186" s="5" t="s">
        <v>395</v>
      </c>
      <c r="BX186" s="5" t="s">
        <v>395</v>
      </c>
      <c r="BY186" s="5" t="s">
        <v>395</v>
      </c>
      <c r="BZ186" s="5" t="s">
        <v>395</v>
      </c>
      <c r="CA186" s="5" t="s">
        <v>395</v>
      </c>
      <c r="CB186" s="5" t="s">
        <v>395</v>
      </c>
      <c r="CC186" s="5" t="s">
        <v>395</v>
      </c>
      <c r="CD186" s="5" t="s">
        <v>395</v>
      </c>
      <c r="CE186" s="5" t="s">
        <v>395</v>
      </c>
      <c r="CF186" s="5" t="s">
        <v>395</v>
      </c>
      <c r="CG186" s="5" t="s">
        <v>395</v>
      </c>
      <c r="CH186" s="5" t="s">
        <v>395</v>
      </c>
      <c r="CI186" s="5" t="s">
        <v>395</v>
      </c>
      <c r="CJ186" s="5" t="s">
        <v>395</v>
      </c>
      <c r="CK186" s="5" t="s">
        <v>395</v>
      </c>
      <c r="CL186" s="5" t="s">
        <v>395</v>
      </c>
      <c r="CM186" s="5" t="s">
        <v>395</v>
      </c>
      <c r="CN186" s="5" t="s">
        <v>395</v>
      </c>
      <c r="CO186" s="5" t="s">
        <v>395</v>
      </c>
      <c r="CP186" s="5" t="s">
        <v>395</v>
      </c>
      <c r="CQ186" s="5" t="s">
        <v>395</v>
      </c>
      <c r="CR186" s="5" t="s">
        <v>395</v>
      </c>
      <c r="CS186" s="5" t="s">
        <v>395</v>
      </c>
      <c r="CT186" s="5" t="s">
        <v>395</v>
      </c>
      <c r="CU186" s="5" t="s">
        <v>395</v>
      </c>
      <c r="CV186" s="5" t="s">
        <v>395</v>
      </c>
      <c r="CW186" s="5" t="s">
        <v>395</v>
      </c>
      <c r="CX186" s="5" t="s">
        <v>395</v>
      </c>
      <c r="CY186" s="252" t="s">
        <v>395</v>
      </c>
    </row>
    <row r="187" spans="1:103" x14ac:dyDescent="0.3">
      <c r="A187" s="98" t="s">
        <v>22</v>
      </c>
      <c r="B187" s="98" t="s">
        <v>22</v>
      </c>
      <c r="C187" s="132" t="s">
        <v>20</v>
      </c>
      <c r="D187" s="132" t="s">
        <v>125</v>
      </c>
      <c r="E187" s="98"/>
      <c r="F187" s="98"/>
      <c r="G187" s="245">
        <v>40839</v>
      </c>
      <c r="H187" s="1">
        <v>2011</v>
      </c>
      <c r="I187" s="75" t="s">
        <v>33</v>
      </c>
      <c r="J187" s="75">
        <v>10</v>
      </c>
      <c r="K187" s="155">
        <v>1.2</v>
      </c>
      <c r="L187" s="5" t="s">
        <v>395</v>
      </c>
      <c r="M187" s="254" t="s">
        <v>150</v>
      </c>
      <c r="N187" s="254">
        <v>0.81</v>
      </c>
      <c r="O187" s="254">
        <v>1.7</v>
      </c>
      <c r="P187" s="254">
        <v>1.3</v>
      </c>
      <c r="Q187" s="254">
        <v>2.7</v>
      </c>
      <c r="R187" s="254">
        <v>1.7</v>
      </c>
      <c r="S187" s="32">
        <v>0.96</v>
      </c>
      <c r="T187" s="24">
        <f t="shared" si="25"/>
        <v>9.1699999999999982</v>
      </c>
      <c r="U187" s="5">
        <f t="shared" si="18"/>
        <v>32.791666666666671</v>
      </c>
      <c r="V187" s="32">
        <v>1.5E-3</v>
      </c>
      <c r="W187" s="32">
        <v>6.6000000000000003E-2</v>
      </c>
      <c r="X187" s="32">
        <v>1.7000000000000001E-2</v>
      </c>
      <c r="Y187" s="32">
        <v>2.3E-2</v>
      </c>
      <c r="Z187" s="24" t="s">
        <v>395</v>
      </c>
      <c r="AA187" s="32">
        <v>7.0000000000000001E-3</v>
      </c>
      <c r="AB187" s="32" t="s">
        <v>98</v>
      </c>
      <c r="AC187" s="32" t="s">
        <v>107</v>
      </c>
      <c r="AD187" s="5" t="s">
        <v>395</v>
      </c>
      <c r="AE187" s="5">
        <f t="shared" si="26"/>
        <v>0.1145</v>
      </c>
      <c r="AF187" s="254" t="s">
        <v>46</v>
      </c>
      <c r="AG187" s="250" t="s">
        <v>395</v>
      </c>
      <c r="AH187" s="25">
        <f t="shared" si="24"/>
        <v>12.76595744680851</v>
      </c>
      <c r="AI187" s="25" t="s">
        <v>395</v>
      </c>
      <c r="AJ187" s="25" t="s">
        <v>395</v>
      </c>
      <c r="AK187" s="25" t="s">
        <v>395</v>
      </c>
      <c r="AL187" s="25" t="s">
        <v>395</v>
      </c>
      <c r="AM187" s="25">
        <f>BH187/18.8</f>
        <v>0.14361702127659576</v>
      </c>
      <c r="AN187" s="25">
        <f t="shared" si="27"/>
        <v>0.52659574468085102</v>
      </c>
      <c r="AO187" s="25">
        <f>BJ187/18.8</f>
        <v>0.13297872340425532</v>
      </c>
      <c r="AP187" s="25" t="s">
        <v>395</v>
      </c>
      <c r="AQ187" s="25">
        <f t="shared" si="28"/>
        <v>0.53191489361702127</v>
      </c>
      <c r="AR187" s="25">
        <f>BM187/18.8</f>
        <v>0.45744680851063824</v>
      </c>
      <c r="AS187" s="5" t="s">
        <v>395</v>
      </c>
      <c r="AT187" s="5" t="s">
        <v>395</v>
      </c>
      <c r="AU187" s="5" t="s">
        <v>395</v>
      </c>
      <c r="AV187" s="5" t="s">
        <v>395</v>
      </c>
      <c r="AW187" s="5" t="s">
        <v>395</v>
      </c>
      <c r="AX187" s="5" t="s">
        <v>395</v>
      </c>
      <c r="AY187" s="5" t="s">
        <v>395</v>
      </c>
      <c r="AZ187" s="5" t="s">
        <v>395</v>
      </c>
      <c r="BA187" s="5" t="s">
        <v>395</v>
      </c>
      <c r="BB187" s="5" t="s">
        <v>395</v>
      </c>
      <c r="BC187" s="254">
        <v>240</v>
      </c>
      <c r="BD187" s="254" t="s">
        <v>54</v>
      </c>
      <c r="BE187" s="254" t="s">
        <v>143</v>
      </c>
      <c r="BF187" s="254" t="s">
        <v>54</v>
      </c>
      <c r="BG187" s="254" t="s">
        <v>146</v>
      </c>
      <c r="BH187" s="254">
        <v>2.7</v>
      </c>
      <c r="BI187" s="254">
        <v>9.9</v>
      </c>
      <c r="BJ187" s="254">
        <v>2.5</v>
      </c>
      <c r="BK187" s="254" t="s">
        <v>44</v>
      </c>
      <c r="BL187" s="254">
        <v>10</v>
      </c>
      <c r="BM187" s="254">
        <v>8.6</v>
      </c>
      <c r="BN187" s="5" t="s">
        <v>395</v>
      </c>
      <c r="BO187" s="5" t="s">
        <v>395</v>
      </c>
      <c r="BP187" s="5" t="s">
        <v>395</v>
      </c>
      <c r="BQ187" s="5" t="s">
        <v>395</v>
      </c>
      <c r="BR187" s="5" t="s">
        <v>395</v>
      </c>
      <c r="BS187" s="5" t="s">
        <v>395</v>
      </c>
      <c r="BT187" s="5" t="s">
        <v>395</v>
      </c>
      <c r="BU187" s="5" t="s">
        <v>395</v>
      </c>
      <c r="BV187" s="5" t="s">
        <v>395</v>
      </c>
      <c r="BW187" s="5" t="s">
        <v>395</v>
      </c>
      <c r="BX187" s="5" t="s">
        <v>395</v>
      </c>
      <c r="BY187" s="5" t="s">
        <v>395</v>
      </c>
      <c r="BZ187" s="5" t="s">
        <v>395</v>
      </c>
      <c r="CA187" s="5" t="s">
        <v>395</v>
      </c>
      <c r="CB187" s="5" t="s">
        <v>395</v>
      </c>
      <c r="CC187" s="5" t="s">
        <v>395</v>
      </c>
      <c r="CD187" s="5" t="s">
        <v>395</v>
      </c>
      <c r="CE187" s="5" t="s">
        <v>395</v>
      </c>
      <c r="CF187" s="5" t="s">
        <v>395</v>
      </c>
      <c r="CG187" s="5" t="s">
        <v>395</v>
      </c>
      <c r="CH187" s="5" t="s">
        <v>395</v>
      </c>
      <c r="CI187" s="5" t="s">
        <v>395</v>
      </c>
      <c r="CJ187" s="5" t="s">
        <v>395</v>
      </c>
      <c r="CK187" s="5" t="s">
        <v>395</v>
      </c>
      <c r="CL187" s="5" t="s">
        <v>395</v>
      </c>
      <c r="CM187" s="5" t="s">
        <v>395</v>
      </c>
      <c r="CN187" s="5" t="s">
        <v>395</v>
      </c>
      <c r="CO187" s="5" t="s">
        <v>395</v>
      </c>
      <c r="CP187" s="5" t="s">
        <v>395</v>
      </c>
      <c r="CQ187" s="5" t="s">
        <v>395</v>
      </c>
      <c r="CR187" s="5" t="s">
        <v>395</v>
      </c>
      <c r="CS187" s="5" t="s">
        <v>395</v>
      </c>
      <c r="CT187" s="5" t="s">
        <v>395</v>
      </c>
      <c r="CU187" s="5" t="s">
        <v>395</v>
      </c>
      <c r="CV187" s="5" t="s">
        <v>395</v>
      </c>
      <c r="CW187" s="5" t="s">
        <v>395</v>
      </c>
      <c r="CX187" s="5" t="s">
        <v>395</v>
      </c>
      <c r="CY187" s="252" t="s">
        <v>395</v>
      </c>
    </row>
    <row r="188" spans="1:103" x14ac:dyDescent="0.3">
      <c r="A188" s="98" t="s">
        <v>21</v>
      </c>
      <c r="B188" s="98" t="s">
        <v>21</v>
      </c>
      <c r="C188" s="132" t="s">
        <v>20</v>
      </c>
      <c r="D188" s="132" t="s">
        <v>125</v>
      </c>
      <c r="E188" s="98"/>
      <c r="F188" s="98"/>
      <c r="G188" s="245">
        <v>40782</v>
      </c>
      <c r="H188" s="1">
        <v>2011</v>
      </c>
      <c r="I188" s="75" t="s">
        <v>33</v>
      </c>
      <c r="J188" s="75">
        <v>10</v>
      </c>
      <c r="K188" s="155">
        <v>2.2999999999999998</v>
      </c>
      <c r="L188" s="5" t="s">
        <v>395</v>
      </c>
      <c r="M188" s="254" t="s">
        <v>48</v>
      </c>
      <c r="N188" s="254" t="s">
        <v>51</v>
      </c>
      <c r="O188" s="254" t="s">
        <v>151</v>
      </c>
      <c r="P188" s="254" t="s">
        <v>41</v>
      </c>
      <c r="Q188" s="254" t="s">
        <v>152</v>
      </c>
      <c r="R188" s="254" t="s">
        <v>38</v>
      </c>
      <c r="S188" s="32" t="s">
        <v>153</v>
      </c>
      <c r="T188" s="24">
        <f t="shared" si="25"/>
        <v>0</v>
      </c>
      <c r="U188" s="5">
        <f t="shared" si="18"/>
        <v>0</v>
      </c>
      <c r="V188" s="32" t="s">
        <v>87</v>
      </c>
      <c r="W188" s="32" t="s">
        <v>90</v>
      </c>
      <c r="X188" s="32" t="s">
        <v>91</v>
      </c>
      <c r="Y188" s="32" t="s">
        <v>98</v>
      </c>
      <c r="Z188" s="24" t="s">
        <v>395</v>
      </c>
      <c r="AA188" s="32" t="s">
        <v>102</v>
      </c>
      <c r="AB188" s="32" t="s">
        <v>104</v>
      </c>
      <c r="AC188" s="32" t="s">
        <v>108</v>
      </c>
      <c r="AD188" s="5" t="s">
        <v>395</v>
      </c>
      <c r="AE188" s="5">
        <f t="shared" si="26"/>
        <v>0</v>
      </c>
      <c r="AF188" s="254" t="s">
        <v>46</v>
      </c>
      <c r="AG188" s="250" t="s">
        <v>395</v>
      </c>
      <c r="AH188" s="25">
        <f t="shared" si="24"/>
        <v>22.340425531914892</v>
      </c>
      <c r="AI188" s="25" t="s">
        <v>395</v>
      </c>
      <c r="AJ188" s="25" t="s">
        <v>395</v>
      </c>
      <c r="AK188" s="25" t="s">
        <v>395</v>
      </c>
      <c r="AL188" s="25" t="s">
        <v>395</v>
      </c>
      <c r="AM188" s="25" t="s">
        <v>395</v>
      </c>
      <c r="AN188" s="25">
        <f t="shared" si="27"/>
        <v>0.58510638297872342</v>
      </c>
      <c r="AO188" s="25">
        <f>BJ188/18.8</f>
        <v>0.5</v>
      </c>
      <c r="AP188" s="25" t="s">
        <v>395</v>
      </c>
      <c r="AQ188" s="25">
        <f t="shared" si="28"/>
        <v>0.38829787234042551</v>
      </c>
      <c r="AR188" s="25">
        <f>BM188/18.8</f>
        <v>0.21808510638297871</v>
      </c>
      <c r="AS188" s="5" t="s">
        <v>395</v>
      </c>
      <c r="AT188" s="5" t="s">
        <v>395</v>
      </c>
      <c r="AU188" s="5" t="s">
        <v>395</v>
      </c>
      <c r="AV188" s="5" t="s">
        <v>395</v>
      </c>
      <c r="AW188" s="5" t="s">
        <v>395</v>
      </c>
      <c r="AX188" s="5" t="s">
        <v>395</v>
      </c>
      <c r="AY188" s="5" t="s">
        <v>395</v>
      </c>
      <c r="AZ188" s="5" t="s">
        <v>395</v>
      </c>
      <c r="BA188" s="5" t="s">
        <v>395</v>
      </c>
      <c r="BB188" s="5" t="s">
        <v>395</v>
      </c>
      <c r="BC188" s="254">
        <v>420</v>
      </c>
      <c r="BD188" s="254" t="s">
        <v>143</v>
      </c>
      <c r="BE188" s="254" t="s">
        <v>44</v>
      </c>
      <c r="BF188" s="254" t="s">
        <v>54</v>
      </c>
      <c r="BG188" s="254" t="s">
        <v>146</v>
      </c>
      <c r="BH188" s="254" t="s">
        <v>44</v>
      </c>
      <c r="BI188" s="254">
        <v>11</v>
      </c>
      <c r="BJ188" s="254">
        <v>9.4</v>
      </c>
      <c r="BK188" s="254" t="s">
        <v>44</v>
      </c>
      <c r="BL188" s="254">
        <v>7.3</v>
      </c>
      <c r="BM188" s="254">
        <v>4.0999999999999996</v>
      </c>
      <c r="BN188" s="5" t="s">
        <v>395</v>
      </c>
      <c r="BO188" s="5" t="s">
        <v>395</v>
      </c>
      <c r="BP188" s="5" t="s">
        <v>395</v>
      </c>
      <c r="BQ188" s="5" t="s">
        <v>395</v>
      </c>
      <c r="BR188" s="5" t="s">
        <v>395</v>
      </c>
      <c r="BS188" s="5" t="s">
        <v>395</v>
      </c>
      <c r="BT188" s="5" t="s">
        <v>395</v>
      </c>
      <c r="BU188" s="5" t="s">
        <v>395</v>
      </c>
      <c r="BV188" s="5" t="s">
        <v>395</v>
      </c>
      <c r="BW188" s="5" t="s">
        <v>395</v>
      </c>
      <c r="BX188" s="5" t="s">
        <v>395</v>
      </c>
      <c r="BY188" s="5" t="s">
        <v>395</v>
      </c>
      <c r="BZ188" s="5" t="s">
        <v>395</v>
      </c>
      <c r="CA188" s="5" t="s">
        <v>395</v>
      </c>
      <c r="CB188" s="5" t="s">
        <v>395</v>
      </c>
      <c r="CC188" s="5" t="s">
        <v>395</v>
      </c>
      <c r="CD188" s="5" t="s">
        <v>395</v>
      </c>
      <c r="CE188" s="5" t="s">
        <v>395</v>
      </c>
      <c r="CF188" s="5" t="s">
        <v>395</v>
      </c>
      <c r="CG188" s="5" t="s">
        <v>395</v>
      </c>
      <c r="CH188" s="5" t="s">
        <v>395</v>
      </c>
      <c r="CI188" s="5" t="s">
        <v>395</v>
      </c>
      <c r="CJ188" s="5" t="s">
        <v>395</v>
      </c>
      <c r="CK188" s="5" t="s">
        <v>395</v>
      </c>
      <c r="CL188" s="5" t="s">
        <v>395</v>
      </c>
      <c r="CM188" s="5" t="s">
        <v>395</v>
      </c>
      <c r="CN188" s="5" t="s">
        <v>395</v>
      </c>
      <c r="CO188" s="5" t="s">
        <v>395</v>
      </c>
      <c r="CP188" s="5" t="s">
        <v>395</v>
      </c>
      <c r="CQ188" s="5" t="s">
        <v>395</v>
      </c>
      <c r="CR188" s="5" t="s">
        <v>395</v>
      </c>
      <c r="CS188" s="5" t="s">
        <v>395</v>
      </c>
      <c r="CT188" s="5" t="s">
        <v>395</v>
      </c>
      <c r="CU188" s="5" t="s">
        <v>395</v>
      </c>
      <c r="CV188" s="5" t="s">
        <v>395</v>
      </c>
      <c r="CW188" s="5" t="s">
        <v>395</v>
      </c>
      <c r="CX188" s="5" t="s">
        <v>395</v>
      </c>
      <c r="CY188" s="252" t="s">
        <v>395</v>
      </c>
    </row>
    <row r="189" spans="1:103" x14ac:dyDescent="0.3">
      <c r="A189" s="98" t="s">
        <v>112</v>
      </c>
      <c r="B189" s="98" t="s">
        <v>24</v>
      </c>
      <c r="C189" s="132" t="s">
        <v>20</v>
      </c>
      <c r="D189" s="132" t="s">
        <v>125</v>
      </c>
      <c r="E189" s="98"/>
      <c r="F189" s="98"/>
      <c r="G189" s="245">
        <v>40796</v>
      </c>
      <c r="H189" s="1">
        <v>2011</v>
      </c>
      <c r="I189" s="75" t="s">
        <v>33</v>
      </c>
      <c r="J189" s="75">
        <v>10</v>
      </c>
      <c r="K189" s="155">
        <v>1.1000000000000001</v>
      </c>
      <c r="L189" s="5" t="s">
        <v>395</v>
      </c>
      <c r="M189" s="254" t="s">
        <v>42</v>
      </c>
      <c r="N189" s="254">
        <v>0.65</v>
      </c>
      <c r="O189" s="254">
        <v>1.5</v>
      </c>
      <c r="P189" s="254">
        <v>1.4</v>
      </c>
      <c r="Q189" s="254">
        <v>2.7</v>
      </c>
      <c r="R189" s="254">
        <v>1.9</v>
      </c>
      <c r="S189" s="32">
        <v>0.83</v>
      </c>
      <c r="T189" s="24">
        <f t="shared" si="25"/>
        <v>8.98</v>
      </c>
      <c r="U189" s="5">
        <f t="shared" si="18"/>
        <v>34.454545454545453</v>
      </c>
      <c r="V189" s="32">
        <v>1.9E-3</v>
      </c>
      <c r="W189" s="32">
        <v>6.2E-2</v>
      </c>
      <c r="X189" s="32">
        <v>1.0999999999999999E-2</v>
      </c>
      <c r="Y189" s="32">
        <v>1.4999999999999999E-2</v>
      </c>
      <c r="Z189" s="24" t="s">
        <v>395</v>
      </c>
      <c r="AA189" s="32">
        <v>2.8E-3</v>
      </c>
      <c r="AB189" s="32" t="s">
        <v>92</v>
      </c>
      <c r="AC189" s="32" t="s">
        <v>109</v>
      </c>
      <c r="AD189" s="5" t="s">
        <v>395</v>
      </c>
      <c r="AE189" s="5">
        <f t="shared" si="26"/>
        <v>9.2699999999999991E-2</v>
      </c>
      <c r="AF189" s="254" t="s">
        <v>46</v>
      </c>
      <c r="AG189" s="250" t="s">
        <v>395</v>
      </c>
      <c r="AH189" s="25">
        <f t="shared" si="24"/>
        <v>9.0425531914893611</v>
      </c>
      <c r="AI189" s="25" t="s">
        <v>395</v>
      </c>
      <c r="AJ189" s="25" t="s">
        <v>395</v>
      </c>
      <c r="AK189" s="25" t="s">
        <v>395</v>
      </c>
      <c r="AL189" s="25" t="s">
        <v>395</v>
      </c>
      <c r="AM189" s="25" t="s">
        <v>395</v>
      </c>
      <c r="AN189" s="25">
        <f t="shared" si="27"/>
        <v>0.30851063829787234</v>
      </c>
      <c r="AO189" s="25">
        <f>BJ189/18.8</f>
        <v>6.3829787234042548E-2</v>
      </c>
      <c r="AP189" s="25" t="s">
        <v>395</v>
      </c>
      <c r="AQ189" s="25">
        <f t="shared" si="28"/>
        <v>0.29255319148936171</v>
      </c>
      <c r="AR189" s="25">
        <f>BM189/18.8</f>
        <v>0.4893617021276595</v>
      </c>
      <c r="AS189" s="5" t="s">
        <v>395</v>
      </c>
      <c r="AT189" s="5" t="s">
        <v>395</v>
      </c>
      <c r="AU189" s="5" t="s">
        <v>395</v>
      </c>
      <c r="AV189" s="5" t="s">
        <v>395</v>
      </c>
      <c r="AW189" s="5" t="s">
        <v>395</v>
      </c>
      <c r="AX189" s="5" t="s">
        <v>395</v>
      </c>
      <c r="AY189" s="5" t="s">
        <v>395</v>
      </c>
      <c r="AZ189" s="5" t="s">
        <v>395</v>
      </c>
      <c r="BA189" s="5" t="s">
        <v>395</v>
      </c>
      <c r="BB189" s="5" t="s">
        <v>395</v>
      </c>
      <c r="BC189" s="254">
        <v>170</v>
      </c>
      <c r="BD189" s="254" t="s">
        <v>54</v>
      </c>
      <c r="BE189" s="254" t="s">
        <v>143</v>
      </c>
      <c r="BF189" s="254" t="s">
        <v>54</v>
      </c>
      <c r="BG189" s="254" t="s">
        <v>146</v>
      </c>
      <c r="BH189" s="254" t="s">
        <v>54</v>
      </c>
      <c r="BI189" s="254">
        <v>5.8</v>
      </c>
      <c r="BJ189" s="254">
        <v>1.2</v>
      </c>
      <c r="BK189" s="254" t="s">
        <v>44</v>
      </c>
      <c r="BL189" s="254">
        <v>5.5</v>
      </c>
      <c r="BM189" s="254">
        <v>9.1999999999999993</v>
      </c>
      <c r="BN189" s="5" t="s">
        <v>395</v>
      </c>
      <c r="BO189" s="5" t="s">
        <v>395</v>
      </c>
      <c r="BP189" s="5" t="s">
        <v>395</v>
      </c>
      <c r="BQ189" s="5" t="s">
        <v>395</v>
      </c>
      <c r="BR189" s="5" t="s">
        <v>395</v>
      </c>
      <c r="BS189" s="5" t="s">
        <v>395</v>
      </c>
      <c r="BT189" s="5" t="s">
        <v>395</v>
      </c>
      <c r="BU189" s="5" t="s">
        <v>395</v>
      </c>
      <c r="BV189" s="5" t="s">
        <v>395</v>
      </c>
      <c r="BW189" s="5" t="s">
        <v>395</v>
      </c>
      <c r="BX189" s="5" t="s">
        <v>395</v>
      </c>
      <c r="BY189" s="5" t="s">
        <v>395</v>
      </c>
      <c r="BZ189" s="5" t="s">
        <v>395</v>
      </c>
      <c r="CA189" s="5" t="s">
        <v>395</v>
      </c>
      <c r="CB189" s="5" t="s">
        <v>395</v>
      </c>
      <c r="CC189" s="5" t="s">
        <v>395</v>
      </c>
      <c r="CD189" s="5" t="s">
        <v>395</v>
      </c>
      <c r="CE189" s="5" t="s">
        <v>395</v>
      </c>
      <c r="CF189" s="5" t="s">
        <v>395</v>
      </c>
      <c r="CG189" s="5" t="s">
        <v>395</v>
      </c>
      <c r="CH189" s="5" t="s">
        <v>395</v>
      </c>
      <c r="CI189" s="5" t="s">
        <v>395</v>
      </c>
      <c r="CJ189" s="5" t="s">
        <v>395</v>
      </c>
      <c r="CK189" s="5" t="s">
        <v>395</v>
      </c>
      <c r="CL189" s="5" t="s">
        <v>395</v>
      </c>
      <c r="CM189" s="5" t="s">
        <v>395</v>
      </c>
      <c r="CN189" s="5" t="s">
        <v>395</v>
      </c>
      <c r="CO189" s="5" t="s">
        <v>395</v>
      </c>
      <c r="CP189" s="5" t="s">
        <v>395</v>
      </c>
      <c r="CQ189" s="5" t="s">
        <v>395</v>
      </c>
      <c r="CR189" s="5" t="s">
        <v>395</v>
      </c>
      <c r="CS189" s="5" t="s">
        <v>395</v>
      </c>
      <c r="CT189" s="5" t="s">
        <v>395</v>
      </c>
      <c r="CU189" s="5" t="s">
        <v>395</v>
      </c>
      <c r="CV189" s="5" t="s">
        <v>395</v>
      </c>
      <c r="CW189" s="5" t="s">
        <v>395</v>
      </c>
      <c r="CX189" s="5" t="s">
        <v>395</v>
      </c>
      <c r="CY189" s="252" t="s">
        <v>395</v>
      </c>
    </row>
    <row r="190" spans="1:103" x14ac:dyDescent="0.3">
      <c r="A190" s="98" t="s">
        <v>22</v>
      </c>
      <c r="B190" s="98" t="s">
        <v>22</v>
      </c>
      <c r="C190" s="132" t="s">
        <v>20</v>
      </c>
      <c r="D190" s="132" t="s">
        <v>125</v>
      </c>
      <c r="E190" s="98"/>
      <c r="F190" s="98"/>
      <c r="G190" s="245">
        <v>40496</v>
      </c>
      <c r="H190" s="1">
        <v>2010</v>
      </c>
      <c r="I190" s="75" t="s">
        <v>3</v>
      </c>
      <c r="J190" s="75" t="s">
        <v>114</v>
      </c>
      <c r="K190" s="155">
        <v>0.76</v>
      </c>
      <c r="L190" s="5" t="s">
        <v>395</v>
      </c>
      <c r="M190" s="35">
        <v>1.5</v>
      </c>
      <c r="N190" s="35">
        <v>4.8</v>
      </c>
      <c r="O190" s="35">
        <v>6.8</v>
      </c>
      <c r="P190" s="35">
        <v>4.9000000000000004</v>
      </c>
      <c r="Q190" s="35">
        <v>8.4</v>
      </c>
      <c r="R190" s="35">
        <v>6.6</v>
      </c>
      <c r="S190" s="35">
        <v>1.7</v>
      </c>
      <c r="T190" s="5">
        <f t="shared" ref="T190:T214" si="29">SUM(M190:S190)</f>
        <v>34.700000000000003</v>
      </c>
      <c r="U190" s="5">
        <f t="shared" si="18"/>
        <v>196.05263157894737</v>
      </c>
      <c r="V190" s="35" t="s">
        <v>56</v>
      </c>
      <c r="W190" s="35">
        <v>0.41</v>
      </c>
      <c r="X190" s="35">
        <v>9.7000000000000003E-2</v>
      </c>
      <c r="Y190" s="35">
        <v>0.14000000000000001</v>
      </c>
      <c r="Z190" s="5" t="s">
        <v>395</v>
      </c>
      <c r="AA190" s="35">
        <v>2.5999999999999999E-2</v>
      </c>
      <c r="AB190" s="35" t="s">
        <v>64</v>
      </c>
      <c r="AC190" s="24" t="s">
        <v>395</v>
      </c>
      <c r="AD190" s="5" t="s">
        <v>395</v>
      </c>
      <c r="AE190" s="5">
        <f t="shared" si="26"/>
        <v>0.67300000000000004</v>
      </c>
      <c r="AF190" s="35" t="s">
        <v>45</v>
      </c>
      <c r="AG190" s="250" t="s">
        <v>395</v>
      </c>
      <c r="AH190" s="25">
        <f>BC190/18.8</f>
        <v>13.617021276595745</v>
      </c>
      <c r="AI190" s="5" t="s">
        <v>395</v>
      </c>
      <c r="AJ190" s="5" t="s">
        <v>395</v>
      </c>
      <c r="AK190" s="5" t="s">
        <v>395</v>
      </c>
      <c r="AL190" s="5" t="s">
        <v>395</v>
      </c>
      <c r="AM190" s="5" t="s">
        <v>395</v>
      </c>
      <c r="AN190" s="5" t="s">
        <v>395</v>
      </c>
      <c r="AO190" s="5" t="s">
        <v>395</v>
      </c>
      <c r="AP190" s="5" t="s">
        <v>395</v>
      </c>
      <c r="AQ190" s="5" t="s">
        <v>395</v>
      </c>
      <c r="AR190" s="5" t="s">
        <v>395</v>
      </c>
      <c r="AS190" s="5" t="s">
        <v>395</v>
      </c>
      <c r="AT190" s="5" t="s">
        <v>395</v>
      </c>
      <c r="AU190" s="5" t="s">
        <v>395</v>
      </c>
      <c r="AV190" s="5" t="s">
        <v>395</v>
      </c>
      <c r="AW190" s="5" t="s">
        <v>395</v>
      </c>
      <c r="AX190" s="5" t="s">
        <v>395</v>
      </c>
      <c r="AY190" s="5" t="s">
        <v>395</v>
      </c>
      <c r="AZ190" s="5" t="s">
        <v>395</v>
      </c>
      <c r="BA190" s="5" t="s">
        <v>395</v>
      </c>
      <c r="BB190" s="5" t="s">
        <v>395</v>
      </c>
      <c r="BC190" s="94">
        <v>256</v>
      </c>
      <c r="BD190" s="5" t="s">
        <v>395</v>
      </c>
      <c r="BE190" s="5" t="s">
        <v>395</v>
      </c>
      <c r="BF190" s="5" t="s">
        <v>395</v>
      </c>
      <c r="BG190" s="5" t="s">
        <v>395</v>
      </c>
      <c r="BH190" s="5" t="s">
        <v>395</v>
      </c>
      <c r="BI190" s="5" t="s">
        <v>395</v>
      </c>
      <c r="BJ190" s="5" t="s">
        <v>395</v>
      </c>
      <c r="BK190" s="5" t="s">
        <v>395</v>
      </c>
      <c r="BL190" s="5" t="s">
        <v>395</v>
      </c>
      <c r="BM190" s="5" t="s">
        <v>395</v>
      </c>
      <c r="BN190" s="5" t="s">
        <v>395</v>
      </c>
      <c r="BO190" s="5" t="s">
        <v>395</v>
      </c>
      <c r="BP190" s="5" t="s">
        <v>395</v>
      </c>
      <c r="BQ190" s="5" t="s">
        <v>395</v>
      </c>
      <c r="BR190" s="5" t="s">
        <v>395</v>
      </c>
      <c r="BS190" s="5" t="s">
        <v>395</v>
      </c>
      <c r="BT190" s="5" t="s">
        <v>395</v>
      </c>
      <c r="BU190" s="5" t="s">
        <v>395</v>
      </c>
      <c r="BV190" s="5" t="s">
        <v>395</v>
      </c>
      <c r="BW190" s="5" t="s">
        <v>395</v>
      </c>
      <c r="BX190" s="5" t="s">
        <v>395</v>
      </c>
      <c r="BY190" s="5" t="s">
        <v>395</v>
      </c>
      <c r="BZ190" s="5" t="s">
        <v>395</v>
      </c>
      <c r="CA190" s="5" t="s">
        <v>395</v>
      </c>
      <c r="CB190" s="5" t="s">
        <v>395</v>
      </c>
      <c r="CC190" s="5" t="s">
        <v>395</v>
      </c>
      <c r="CD190" s="5" t="s">
        <v>395</v>
      </c>
      <c r="CE190" s="5" t="s">
        <v>395</v>
      </c>
      <c r="CF190" s="5" t="s">
        <v>395</v>
      </c>
      <c r="CG190" s="5" t="s">
        <v>395</v>
      </c>
      <c r="CH190" s="5" t="s">
        <v>395</v>
      </c>
      <c r="CI190" s="5" t="s">
        <v>395</v>
      </c>
      <c r="CJ190" s="5" t="s">
        <v>395</v>
      </c>
      <c r="CK190" s="5" t="s">
        <v>395</v>
      </c>
      <c r="CL190" s="5" t="s">
        <v>395</v>
      </c>
      <c r="CM190" s="5" t="s">
        <v>395</v>
      </c>
      <c r="CN190" s="5" t="s">
        <v>395</v>
      </c>
      <c r="CO190" s="5" t="s">
        <v>395</v>
      </c>
      <c r="CP190" s="5" t="s">
        <v>395</v>
      </c>
      <c r="CQ190" s="5" t="s">
        <v>395</v>
      </c>
      <c r="CR190" s="5" t="s">
        <v>395</v>
      </c>
      <c r="CS190" s="5" t="s">
        <v>395</v>
      </c>
      <c r="CT190" s="5" t="s">
        <v>395</v>
      </c>
      <c r="CU190" s="5" t="s">
        <v>395</v>
      </c>
      <c r="CV190" s="5" t="s">
        <v>395</v>
      </c>
      <c r="CW190" s="5" t="s">
        <v>395</v>
      </c>
      <c r="CX190" s="5" t="s">
        <v>395</v>
      </c>
      <c r="CY190" s="252" t="s">
        <v>395</v>
      </c>
    </row>
    <row r="191" spans="1:103" x14ac:dyDescent="0.3">
      <c r="A191" s="98" t="s">
        <v>22</v>
      </c>
      <c r="B191" s="98" t="s">
        <v>22</v>
      </c>
      <c r="C191" s="132" t="s">
        <v>20</v>
      </c>
      <c r="D191" s="132" t="s">
        <v>125</v>
      </c>
      <c r="E191" s="98"/>
      <c r="F191" s="98"/>
      <c r="G191" s="245">
        <v>40496</v>
      </c>
      <c r="H191" s="1">
        <v>2010</v>
      </c>
      <c r="I191" s="75" t="s">
        <v>3</v>
      </c>
      <c r="J191" s="75" t="s">
        <v>114</v>
      </c>
      <c r="K191" s="155">
        <v>0.69</v>
      </c>
      <c r="L191" s="5" t="s">
        <v>395</v>
      </c>
      <c r="M191" s="35">
        <v>1.9</v>
      </c>
      <c r="N191" s="35">
        <v>4.7</v>
      </c>
      <c r="O191" s="35">
        <v>4.9000000000000004</v>
      </c>
      <c r="P191" s="35">
        <v>3.9</v>
      </c>
      <c r="Q191" s="35">
        <v>7.2</v>
      </c>
      <c r="R191" s="35">
        <v>5.5</v>
      </c>
      <c r="S191" s="35">
        <v>1.6</v>
      </c>
      <c r="T191" s="5">
        <f t="shared" si="29"/>
        <v>29.700000000000003</v>
      </c>
      <c r="U191" s="5">
        <f t="shared" si="18"/>
        <v>186.95652173913044</v>
      </c>
      <c r="V191" s="35">
        <v>2.1999999999999999E-2</v>
      </c>
      <c r="W191" s="35">
        <v>0.36</v>
      </c>
      <c r="X191" s="35">
        <v>9.2999999999999999E-2</v>
      </c>
      <c r="Y191" s="35">
        <v>8.3000000000000004E-2</v>
      </c>
      <c r="Z191" s="5" t="s">
        <v>395</v>
      </c>
      <c r="AA191" s="35">
        <v>2.3E-2</v>
      </c>
      <c r="AB191" s="35">
        <v>2.1999999999999999E-2</v>
      </c>
      <c r="AC191" s="24" t="s">
        <v>395</v>
      </c>
      <c r="AD191" s="5" t="s">
        <v>395</v>
      </c>
      <c r="AE191" s="5">
        <f t="shared" si="26"/>
        <v>0.60300000000000009</v>
      </c>
      <c r="AF191" s="35" t="s">
        <v>46</v>
      </c>
      <c r="AG191" s="250" t="s">
        <v>395</v>
      </c>
      <c r="AH191" s="25">
        <f t="shared" si="24"/>
        <v>22.127659574468083</v>
      </c>
      <c r="AI191" s="5" t="s">
        <v>395</v>
      </c>
      <c r="AJ191" s="5" t="s">
        <v>395</v>
      </c>
      <c r="AK191" s="5" t="s">
        <v>395</v>
      </c>
      <c r="AL191" s="5" t="s">
        <v>395</v>
      </c>
      <c r="AM191" s="5" t="s">
        <v>395</v>
      </c>
      <c r="AN191" s="5" t="s">
        <v>395</v>
      </c>
      <c r="AO191" s="5" t="s">
        <v>395</v>
      </c>
      <c r="AP191" s="5" t="s">
        <v>395</v>
      </c>
      <c r="AQ191" s="5" t="s">
        <v>395</v>
      </c>
      <c r="AR191" s="5" t="s">
        <v>395</v>
      </c>
      <c r="AS191" s="5" t="s">
        <v>395</v>
      </c>
      <c r="AT191" s="5" t="s">
        <v>395</v>
      </c>
      <c r="AU191" s="5" t="s">
        <v>395</v>
      </c>
      <c r="AV191" s="5" t="s">
        <v>395</v>
      </c>
      <c r="AW191" s="5" t="s">
        <v>395</v>
      </c>
      <c r="AX191" s="5" t="s">
        <v>395</v>
      </c>
      <c r="AY191" s="5" t="s">
        <v>395</v>
      </c>
      <c r="AZ191" s="5" t="s">
        <v>395</v>
      </c>
      <c r="BA191" s="5" t="s">
        <v>395</v>
      </c>
      <c r="BB191" s="5" t="s">
        <v>395</v>
      </c>
      <c r="BC191" s="94">
        <v>416</v>
      </c>
      <c r="BD191" s="5" t="s">
        <v>395</v>
      </c>
      <c r="BE191" s="5" t="s">
        <v>395</v>
      </c>
      <c r="BF191" s="5" t="s">
        <v>395</v>
      </c>
      <c r="BG191" s="5" t="s">
        <v>395</v>
      </c>
      <c r="BH191" s="5" t="s">
        <v>395</v>
      </c>
      <c r="BI191" s="5" t="s">
        <v>395</v>
      </c>
      <c r="BJ191" s="5" t="s">
        <v>395</v>
      </c>
      <c r="BK191" s="5" t="s">
        <v>395</v>
      </c>
      <c r="BL191" s="5" t="s">
        <v>395</v>
      </c>
      <c r="BM191" s="5" t="s">
        <v>395</v>
      </c>
      <c r="BN191" s="5" t="s">
        <v>395</v>
      </c>
      <c r="BO191" s="5" t="s">
        <v>395</v>
      </c>
      <c r="BP191" s="5" t="s">
        <v>395</v>
      </c>
      <c r="BQ191" s="5" t="s">
        <v>395</v>
      </c>
      <c r="BR191" s="5" t="s">
        <v>395</v>
      </c>
      <c r="BS191" s="5" t="s">
        <v>395</v>
      </c>
      <c r="BT191" s="5" t="s">
        <v>395</v>
      </c>
      <c r="BU191" s="5" t="s">
        <v>395</v>
      </c>
      <c r="BV191" s="5" t="s">
        <v>395</v>
      </c>
      <c r="BW191" s="5" t="s">
        <v>395</v>
      </c>
      <c r="BX191" s="5" t="s">
        <v>395</v>
      </c>
      <c r="BY191" s="5" t="s">
        <v>395</v>
      </c>
      <c r="BZ191" s="5" t="s">
        <v>395</v>
      </c>
      <c r="CA191" s="5" t="s">
        <v>395</v>
      </c>
      <c r="CB191" s="5" t="s">
        <v>395</v>
      </c>
      <c r="CC191" s="5" t="s">
        <v>395</v>
      </c>
      <c r="CD191" s="5" t="s">
        <v>395</v>
      </c>
      <c r="CE191" s="5" t="s">
        <v>395</v>
      </c>
      <c r="CF191" s="5" t="s">
        <v>395</v>
      </c>
      <c r="CG191" s="5" t="s">
        <v>395</v>
      </c>
      <c r="CH191" s="5" t="s">
        <v>395</v>
      </c>
      <c r="CI191" s="5" t="s">
        <v>395</v>
      </c>
      <c r="CJ191" s="5" t="s">
        <v>395</v>
      </c>
      <c r="CK191" s="5" t="s">
        <v>395</v>
      </c>
      <c r="CL191" s="5" t="s">
        <v>395</v>
      </c>
      <c r="CM191" s="5" t="s">
        <v>395</v>
      </c>
      <c r="CN191" s="5" t="s">
        <v>395</v>
      </c>
      <c r="CO191" s="5" t="s">
        <v>395</v>
      </c>
      <c r="CP191" s="5" t="s">
        <v>395</v>
      </c>
      <c r="CQ191" s="5" t="s">
        <v>395</v>
      </c>
      <c r="CR191" s="5" t="s">
        <v>395</v>
      </c>
      <c r="CS191" s="5" t="s">
        <v>395</v>
      </c>
      <c r="CT191" s="5" t="s">
        <v>395</v>
      </c>
      <c r="CU191" s="5" t="s">
        <v>395</v>
      </c>
      <c r="CV191" s="5" t="s">
        <v>395</v>
      </c>
      <c r="CW191" s="5" t="s">
        <v>395</v>
      </c>
      <c r="CX191" s="5" t="s">
        <v>395</v>
      </c>
      <c r="CY191" s="252" t="s">
        <v>395</v>
      </c>
    </row>
    <row r="192" spans="1:103" x14ac:dyDescent="0.3">
      <c r="A192" s="98" t="s">
        <v>22</v>
      </c>
      <c r="B192" s="98" t="s">
        <v>22</v>
      </c>
      <c r="C192" s="132" t="s">
        <v>20</v>
      </c>
      <c r="D192" s="132" t="s">
        <v>125</v>
      </c>
      <c r="E192" s="98"/>
      <c r="F192" s="98"/>
      <c r="G192" s="245">
        <v>40496</v>
      </c>
      <c r="H192" s="1">
        <v>2010</v>
      </c>
      <c r="I192" s="75" t="s">
        <v>3</v>
      </c>
      <c r="J192" s="75" t="s">
        <v>114</v>
      </c>
      <c r="K192" s="155">
        <v>0.71</v>
      </c>
      <c r="L192" s="5" t="s">
        <v>395</v>
      </c>
      <c r="M192" s="35">
        <v>2.2000000000000002</v>
      </c>
      <c r="N192" s="35">
        <v>4.3</v>
      </c>
      <c r="O192" s="35">
        <v>7.7</v>
      </c>
      <c r="P192" s="35">
        <v>7.8</v>
      </c>
      <c r="Q192" s="35">
        <v>8.6999999999999993</v>
      </c>
      <c r="R192" s="35">
        <v>8.5</v>
      </c>
      <c r="S192" s="35">
        <v>1.9</v>
      </c>
      <c r="T192" s="5">
        <f t="shared" si="29"/>
        <v>41.1</v>
      </c>
      <c r="U192" s="5">
        <f t="shared" si="18"/>
        <v>234.50704225352112</v>
      </c>
      <c r="V192" s="35" t="s">
        <v>57</v>
      </c>
      <c r="W192" s="35">
        <v>0.43</v>
      </c>
      <c r="X192" s="35">
        <v>0.11</v>
      </c>
      <c r="Y192" s="35">
        <v>0.13</v>
      </c>
      <c r="Z192" s="5" t="s">
        <v>395</v>
      </c>
      <c r="AA192" s="35">
        <v>2.7E-2</v>
      </c>
      <c r="AB192" s="35">
        <v>1.7999999999999999E-2</v>
      </c>
      <c r="AC192" s="24" t="s">
        <v>395</v>
      </c>
      <c r="AD192" s="5" t="s">
        <v>395</v>
      </c>
      <c r="AE192" s="5">
        <f t="shared" si="26"/>
        <v>0.71500000000000008</v>
      </c>
      <c r="AF192" s="35" t="s">
        <v>46</v>
      </c>
      <c r="AG192" s="250" t="s">
        <v>395</v>
      </c>
      <c r="AH192" s="25">
        <f t="shared" si="24"/>
        <v>11.117021276595745</v>
      </c>
      <c r="AI192" s="5" t="s">
        <v>395</v>
      </c>
      <c r="AJ192" s="5" t="s">
        <v>395</v>
      </c>
      <c r="AK192" s="5" t="s">
        <v>395</v>
      </c>
      <c r="AL192" s="5" t="s">
        <v>395</v>
      </c>
      <c r="AM192" s="5" t="s">
        <v>395</v>
      </c>
      <c r="AN192" s="5" t="s">
        <v>395</v>
      </c>
      <c r="AO192" s="5" t="s">
        <v>395</v>
      </c>
      <c r="AP192" s="5" t="s">
        <v>395</v>
      </c>
      <c r="AQ192" s="5" t="s">
        <v>395</v>
      </c>
      <c r="AR192" s="5" t="s">
        <v>395</v>
      </c>
      <c r="AS192" s="5" t="s">
        <v>395</v>
      </c>
      <c r="AT192" s="5" t="s">
        <v>395</v>
      </c>
      <c r="AU192" s="5" t="s">
        <v>395</v>
      </c>
      <c r="AV192" s="5" t="s">
        <v>395</v>
      </c>
      <c r="AW192" s="5" t="s">
        <v>395</v>
      </c>
      <c r="AX192" s="5" t="s">
        <v>395</v>
      </c>
      <c r="AY192" s="5" t="s">
        <v>395</v>
      </c>
      <c r="AZ192" s="5" t="s">
        <v>395</v>
      </c>
      <c r="BA192" s="5" t="s">
        <v>395</v>
      </c>
      <c r="BB192" s="5" t="s">
        <v>395</v>
      </c>
      <c r="BC192" s="94">
        <v>209</v>
      </c>
      <c r="BD192" s="5" t="s">
        <v>395</v>
      </c>
      <c r="BE192" s="5" t="s">
        <v>395</v>
      </c>
      <c r="BF192" s="5" t="s">
        <v>395</v>
      </c>
      <c r="BG192" s="5" t="s">
        <v>395</v>
      </c>
      <c r="BH192" s="5" t="s">
        <v>395</v>
      </c>
      <c r="BI192" s="5" t="s">
        <v>395</v>
      </c>
      <c r="BJ192" s="5" t="s">
        <v>395</v>
      </c>
      <c r="BK192" s="5" t="s">
        <v>395</v>
      </c>
      <c r="BL192" s="5" t="s">
        <v>395</v>
      </c>
      <c r="BM192" s="5" t="s">
        <v>395</v>
      </c>
      <c r="BN192" s="5" t="s">
        <v>395</v>
      </c>
      <c r="BO192" s="5" t="s">
        <v>395</v>
      </c>
      <c r="BP192" s="5" t="s">
        <v>395</v>
      </c>
      <c r="BQ192" s="5" t="s">
        <v>395</v>
      </c>
      <c r="BR192" s="5" t="s">
        <v>395</v>
      </c>
      <c r="BS192" s="5" t="s">
        <v>395</v>
      </c>
      <c r="BT192" s="5" t="s">
        <v>395</v>
      </c>
      <c r="BU192" s="5" t="s">
        <v>395</v>
      </c>
      <c r="BV192" s="5" t="s">
        <v>395</v>
      </c>
      <c r="BW192" s="5" t="s">
        <v>395</v>
      </c>
      <c r="BX192" s="5" t="s">
        <v>395</v>
      </c>
      <c r="BY192" s="5" t="s">
        <v>395</v>
      </c>
      <c r="BZ192" s="5" t="s">
        <v>395</v>
      </c>
      <c r="CA192" s="5" t="s">
        <v>395</v>
      </c>
      <c r="CB192" s="5" t="s">
        <v>395</v>
      </c>
      <c r="CC192" s="5" t="s">
        <v>395</v>
      </c>
      <c r="CD192" s="5" t="s">
        <v>395</v>
      </c>
      <c r="CE192" s="5" t="s">
        <v>395</v>
      </c>
      <c r="CF192" s="5" t="s">
        <v>395</v>
      </c>
      <c r="CG192" s="5" t="s">
        <v>395</v>
      </c>
      <c r="CH192" s="5" t="s">
        <v>395</v>
      </c>
      <c r="CI192" s="5" t="s">
        <v>395</v>
      </c>
      <c r="CJ192" s="5" t="s">
        <v>395</v>
      </c>
      <c r="CK192" s="5" t="s">
        <v>395</v>
      </c>
      <c r="CL192" s="5" t="s">
        <v>395</v>
      </c>
      <c r="CM192" s="5" t="s">
        <v>395</v>
      </c>
      <c r="CN192" s="5" t="s">
        <v>395</v>
      </c>
      <c r="CO192" s="5" t="s">
        <v>395</v>
      </c>
      <c r="CP192" s="5" t="s">
        <v>395</v>
      </c>
      <c r="CQ192" s="5" t="s">
        <v>395</v>
      </c>
      <c r="CR192" s="5" t="s">
        <v>395</v>
      </c>
      <c r="CS192" s="5" t="s">
        <v>395</v>
      </c>
      <c r="CT192" s="5" t="s">
        <v>395</v>
      </c>
      <c r="CU192" s="5" t="s">
        <v>395</v>
      </c>
      <c r="CV192" s="5" t="s">
        <v>395</v>
      </c>
      <c r="CW192" s="5" t="s">
        <v>395</v>
      </c>
      <c r="CX192" s="5" t="s">
        <v>395</v>
      </c>
      <c r="CY192" s="252" t="s">
        <v>395</v>
      </c>
    </row>
    <row r="193" spans="1:103" x14ac:dyDescent="0.3">
      <c r="A193" s="98" t="s">
        <v>22</v>
      </c>
      <c r="B193" s="98" t="s">
        <v>22</v>
      </c>
      <c r="C193" s="132" t="s">
        <v>20</v>
      </c>
      <c r="D193" s="132" t="s">
        <v>125</v>
      </c>
      <c r="E193" s="98"/>
      <c r="F193" s="98"/>
      <c r="G193" s="245">
        <v>40496</v>
      </c>
      <c r="H193" s="1">
        <v>2010</v>
      </c>
      <c r="I193" s="75" t="s">
        <v>3</v>
      </c>
      <c r="J193" s="75" t="s">
        <v>114</v>
      </c>
      <c r="K193" s="155">
        <v>0.72</v>
      </c>
      <c r="L193" s="5" t="s">
        <v>395</v>
      </c>
      <c r="M193" s="35">
        <v>2.2999999999999998</v>
      </c>
      <c r="N193" s="35">
        <v>4</v>
      </c>
      <c r="O193" s="35">
        <v>5.5</v>
      </c>
      <c r="P193" s="35">
        <v>4.4000000000000004</v>
      </c>
      <c r="Q193" s="35">
        <v>6.9</v>
      </c>
      <c r="R193" s="35">
        <v>5.3</v>
      </c>
      <c r="S193" s="35">
        <v>1.7</v>
      </c>
      <c r="T193" s="5">
        <f t="shared" si="29"/>
        <v>30.1</v>
      </c>
      <c r="U193" s="5">
        <f t="shared" ref="U193:U214" si="30">SUM(M193,N193,O193,Q193,R193,S193)*(5/K193)</f>
        <v>178.47222222222226</v>
      </c>
      <c r="V193" s="35">
        <v>1.2E-2</v>
      </c>
      <c r="W193" s="35">
        <v>1.5</v>
      </c>
      <c r="X193" s="35">
        <v>0.51</v>
      </c>
      <c r="Y193" s="35">
        <v>0.28999999999999998</v>
      </c>
      <c r="Z193" s="5" t="s">
        <v>395</v>
      </c>
      <c r="AA193" s="35">
        <v>6.6000000000000003E-2</v>
      </c>
      <c r="AB193" s="35">
        <v>3.2000000000000001E-2</v>
      </c>
      <c r="AC193" s="24" t="s">
        <v>395</v>
      </c>
      <c r="AD193" s="5" t="s">
        <v>395</v>
      </c>
      <c r="AE193" s="5">
        <f t="shared" si="26"/>
        <v>2.41</v>
      </c>
      <c r="AF193" s="35" t="s">
        <v>46</v>
      </c>
      <c r="AG193" s="250" t="s">
        <v>395</v>
      </c>
      <c r="AH193" s="25">
        <f t="shared" si="24"/>
        <v>13.617021276595745</v>
      </c>
      <c r="AI193" s="5" t="s">
        <v>395</v>
      </c>
      <c r="AJ193" s="5" t="s">
        <v>395</v>
      </c>
      <c r="AK193" s="5" t="s">
        <v>395</v>
      </c>
      <c r="AL193" s="5" t="s">
        <v>395</v>
      </c>
      <c r="AM193" s="5" t="s">
        <v>395</v>
      </c>
      <c r="AN193" s="5" t="s">
        <v>395</v>
      </c>
      <c r="AO193" s="5" t="s">
        <v>395</v>
      </c>
      <c r="AP193" s="5" t="s">
        <v>395</v>
      </c>
      <c r="AQ193" s="5" t="s">
        <v>395</v>
      </c>
      <c r="AR193" s="5" t="s">
        <v>395</v>
      </c>
      <c r="AS193" s="5" t="s">
        <v>395</v>
      </c>
      <c r="AT193" s="5" t="s">
        <v>395</v>
      </c>
      <c r="AU193" s="5" t="s">
        <v>395</v>
      </c>
      <c r="AV193" s="5" t="s">
        <v>395</v>
      </c>
      <c r="AW193" s="5" t="s">
        <v>395</v>
      </c>
      <c r="AX193" s="5" t="s">
        <v>395</v>
      </c>
      <c r="AY193" s="5" t="s">
        <v>395</v>
      </c>
      <c r="AZ193" s="5" t="s">
        <v>395</v>
      </c>
      <c r="BA193" s="5" t="s">
        <v>395</v>
      </c>
      <c r="BB193" s="5" t="s">
        <v>395</v>
      </c>
      <c r="BC193" s="94">
        <v>256</v>
      </c>
      <c r="BD193" s="5" t="s">
        <v>395</v>
      </c>
      <c r="BE193" s="5" t="s">
        <v>395</v>
      </c>
      <c r="BF193" s="5" t="s">
        <v>395</v>
      </c>
      <c r="BG193" s="5" t="s">
        <v>395</v>
      </c>
      <c r="BH193" s="5" t="s">
        <v>395</v>
      </c>
      <c r="BI193" s="5" t="s">
        <v>395</v>
      </c>
      <c r="BJ193" s="5" t="s">
        <v>395</v>
      </c>
      <c r="BK193" s="5" t="s">
        <v>395</v>
      </c>
      <c r="BL193" s="5" t="s">
        <v>395</v>
      </c>
      <c r="BM193" s="5" t="s">
        <v>395</v>
      </c>
      <c r="BN193" s="5" t="s">
        <v>395</v>
      </c>
      <c r="BO193" s="5" t="s">
        <v>395</v>
      </c>
      <c r="BP193" s="5" t="s">
        <v>395</v>
      </c>
      <c r="BQ193" s="5" t="s">
        <v>395</v>
      </c>
      <c r="BR193" s="5" t="s">
        <v>395</v>
      </c>
      <c r="BS193" s="5" t="s">
        <v>395</v>
      </c>
      <c r="BT193" s="5" t="s">
        <v>395</v>
      </c>
      <c r="BU193" s="5" t="s">
        <v>395</v>
      </c>
      <c r="BV193" s="5" t="s">
        <v>395</v>
      </c>
      <c r="BW193" s="5" t="s">
        <v>395</v>
      </c>
      <c r="BX193" s="5" t="s">
        <v>395</v>
      </c>
      <c r="BY193" s="5" t="s">
        <v>395</v>
      </c>
      <c r="BZ193" s="5" t="s">
        <v>395</v>
      </c>
      <c r="CA193" s="5" t="s">
        <v>395</v>
      </c>
      <c r="CB193" s="5" t="s">
        <v>395</v>
      </c>
      <c r="CC193" s="5" t="s">
        <v>395</v>
      </c>
      <c r="CD193" s="5" t="s">
        <v>395</v>
      </c>
      <c r="CE193" s="5" t="s">
        <v>395</v>
      </c>
      <c r="CF193" s="5" t="s">
        <v>395</v>
      </c>
      <c r="CG193" s="5" t="s">
        <v>395</v>
      </c>
      <c r="CH193" s="5" t="s">
        <v>395</v>
      </c>
      <c r="CI193" s="5" t="s">
        <v>395</v>
      </c>
      <c r="CJ193" s="5" t="s">
        <v>395</v>
      </c>
      <c r="CK193" s="5" t="s">
        <v>395</v>
      </c>
      <c r="CL193" s="5" t="s">
        <v>395</v>
      </c>
      <c r="CM193" s="5" t="s">
        <v>395</v>
      </c>
      <c r="CN193" s="5" t="s">
        <v>395</v>
      </c>
      <c r="CO193" s="5" t="s">
        <v>395</v>
      </c>
      <c r="CP193" s="5" t="s">
        <v>395</v>
      </c>
      <c r="CQ193" s="5" t="s">
        <v>395</v>
      </c>
      <c r="CR193" s="5" t="s">
        <v>395</v>
      </c>
      <c r="CS193" s="5" t="s">
        <v>395</v>
      </c>
      <c r="CT193" s="5" t="s">
        <v>395</v>
      </c>
      <c r="CU193" s="5" t="s">
        <v>395</v>
      </c>
      <c r="CV193" s="5" t="s">
        <v>395</v>
      </c>
      <c r="CW193" s="5" t="s">
        <v>395</v>
      </c>
      <c r="CX193" s="5" t="s">
        <v>395</v>
      </c>
      <c r="CY193" s="252" t="s">
        <v>395</v>
      </c>
    </row>
    <row r="194" spans="1:103" x14ac:dyDescent="0.3">
      <c r="A194" s="98" t="s">
        <v>22</v>
      </c>
      <c r="B194" s="98" t="s">
        <v>22</v>
      </c>
      <c r="C194" s="132" t="s">
        <v>20</v>
      </c>
      <c r="D194" s="132" t="s">
        <v>125</v>
      </c>
      <c r="E194" s="98"/>
      <c r="F194" s="98"/>
      <c r="G194" s="245">
        <v>40496</v>
      </c>
      <c r="H194" s="1">
        <v>2010</v>
      </c>
      <c r="I194" s="75" t="s">
        <v>3</v>
      </c>
      <c r="J194" s="75" t="s">
        <v>114</v>
      </c>
      <c r="K194" s="155">
        <v>0.72</v>
      </c>
      <c r="L194" s="5" t="s">
        <v>395</v>
      </c>
      <c r="M194" s="35">
        <v>2.9</v>
      </c>
      <c r="N194" s="35">
        <v>7.8</v>
      </c>
      <c r="O194" s="35">
        <v>13</v>
      </c>
      <c r="P194" s="35">
        <v>9.9</v>
      </c>
      <c r="Q194" s="35">
        <v>18</v>
      </c>
      <c r="R194" s="35">
        <v>11</v>
      </c>
      <c r="S194" s="35">
        <v>3.7</v>
      </c>
      <c r="T194" s="5">
        <f t="shared" si="29"/>
        <v>66.3</v>
      </c>
      <c r="U194" s="5">
        <f t="shared" si="30"/>
        <v>391.66666666666674</v>
      </c>
      <c r="V194" s="35">
        <v>9.1000000000000004E-3</v>
      </c>
      <c r="W194" s="35">
        <v>0.61</v>
      </c>
      <c r="X194" s="35">
        <v>0.18</v>
      </c>
      <c r="Y194" s="35">
        <v>0.18</v>
      </c>
      <c r="Z194" s="5" t="s">
        <v>395</v>
      </c>
      <c r="AA194" s="35">
        <v>5.7000000000000002E-2</v>
      </c>
      <c r="AB194" s="35">
        <v>2.8000000000000001E-2</v>
      </c>
      <c r="AC194" s="24" t="s">
        <v>395</v>
      </c>
      <c r="AD194" s="5" t="s">
        <v>395</v>
      </c>
      <c r="AE194" s="5">
        <f t="shared" si="26"/>
        <v>1.0640999999999998</v>
      </c>
      <c r="AF194" s="35" t="s">
        <v>46</v>
      </c>
      <c r="AG194" s="250" t="s">
        <v>395</v>
      </c>
      <c r="AH194" s="25">
        <f t="shared" si="24"/>
        <v>13.617021276595745</v>
      </c>
      <c r="AI194" s="5" t="s">
        <v>395</v>
      </c>
      <c r="AJ194" s="5" t="s">
        <v>395</v>
      </c>
      <c r="AK194" s="5" t="s">
        <v>395</v>
      </c>
      <c r="AL194" s="5" t="s">
        <v>395</v>
      </c>
      <c r="AM194" s="5" t="s">
        <v>395</v>
      </c>
      <c r="AN194" s="5" t="s">
        <v>395</v>
      </c>
      <c r="AO194" s="5" t="s">
        <v>395</v>
      </c>
      <c r="AP194" s="5" t="s">
        <v>395</v>
      </c>
      <c r="AQ194" s="5" t="s">
        <v>395</v>
      </c>
      <c r="AR194" s="5" t="s">
        <v>395</v>
      </c>
      <c r="AS194" s="5" t="s">
        <v>395</v>
      </c>
      <c r="AT194" s="5" t="s">
        <v>395</v>
      </c>
      <c r="AU194" s="5" t="s">
        <v>395</v>
      </c>
      <c r="AV194" s="5" t="s">
        <v>395</v>
      </c>
      <c r="AW194" s="5" t="s">
        <v>395</v>
      </c>
      <c r="AX194" s="5" t="s">
        <v>395</v>
      </c>
      <c r="AY194" s="5" t="s">
        <v>395</v>
      </c>
      <c r="AZ194" s="5" t="s">
        <v>395</v>
      </c>
      <c r="BA194" s="5" t="s">
        <v>395</v>
      </c>
      <c r="BB194" s="5" t="s">
        <v>395</v>
      </c>
      <c r="BC194" s="94">
        <v>256</v>
      </c>
      <c r="BD194" s="5" t="s">
        <v>395</v>
      </c>
      <c r="BE194" s="5" t="s">
        <v>395</v>
      </c>
      <c r="BF194" s="5" t="s">
        <v>395</v>
      </c>
      <c r="BG194" s="5" t="s">
        <v>395</v>
      </c>
      <c r="BH194" s="5" t="s">
        <v>395</v>
      </c>
      <c r="BI194" s="5" t="s">
        <v>395</v>
      </c>
      <c r="BJ194" s="5" t="s">
        <v>395</v>
      </c>
      <c r="BK194" s="5" t="s">
        <v>395</v>
      </c>
      <c r="BL194" s="5" t="s">
        <v>395</v>
      </c>
      <c r="BM194" s="5" t="s">
        <v>395</v>
      </c>
      <c r="BN194" s="5" t="s">
        <v>395</v>
      </c>
      <c r="BO194" s="5" t="s">
        <v>395</v>
      </c>
      <c r="BP194" s="5" t="s">
        <v>395</v>
      </c>
      <c r="BQ194" s="5" t="s">
        <v>395</v>
      </c>
      <c r="BR194" s="5" t="s">
        <v>395</v>
      </c>
      <c r="BS194" s="5" t="s">
        <v>395</v>
      </c>
      <c r="BT194" s="5" t="s">
        <v>395</v>
      </c>
      <c r="BU194" s="5" t="s">
        <v>395</v>
      </c>
      <c r="BV194" s="5" t="s">
        <v>395</v>
      </c>
      <c r="BW194" s="5" t="s">
        <v>395</v>
      </c>
      <c r="BX194" s="5" t="s">
        <v>395</v>
      </c>
      <c r="BY194" s="5" t="s">
        <v>395</v>
      </c>
      <c r="BZ194" s="5" t="s">
        <v>395</v>
      </c>
      <c r="CA194" s="5" t="s">
        <v>395</v>
      </c>
      <c r="CB194" s="5" t="s">
        <v>395</v>
      </c>
      <c r="CC194" s="5" t="s">
        <v>395</v>
      </c>
      <c r="CD194" s="5" t="s">
        <v>395</v>
      </c>
      <c r="CE194" s="5" t="s">
        <v>395</v>
      </c>
      <c r="CF194" s="5" t="s">
        <v>395</v>
      </c>
      <c r="CG194" s="5" t="s">
        <v>395</v>
      </c>
      <c r="CH194" s="5" t="s">
        <v>395</v>
      </c>
      <c r="CI194" s="5" t="s">
        <v>395</v>
      </c>
      <c r="CJ194" s="5" t="s">
        <v>395</v>
      </c>
      <c r="CK194" s="5" t="s">
        <v>395</v>
      </c>
      <c r="CL194" s="5" t="s">
        <v>395</v>
      </c>
      <c r="CM194" s="5" t="s">
        <v>395</v>
      </c>
      <c r="CN194" s="5" t="s">
        <v>395</v>
      </c>
      <c r="CO194" s="5" t="s">
        <v>395</v>
      </c>
      <c r="CP194" s="5" t="s">
        <v>395</v>
      </c>
      <c r="CQ194" s="5" t="s">
        <v>395</v>
      </c>
      <c r="CR194" s="5" t="s">
        <v>395</v>
      </c>
      <c r="CS194" s="5" t="s">
        <v>395</v>
      </c>
      <c r="CT194" s="5" t="s">
        <v>395</v>
      </c>
      <c r="CU194" s="5" t="s">
        <v>395</v>
      </c>
      <c r="CV194" s="5" t="s">
        <v>395</v>
      </c>
      <c r="CW194" s="5" t="s">
        <v>395</v>
      </c>
      <c r="CX194" s="5" t="s">
        <v>395</v>
      </c>
      <c r="CY194" s="252" t="s">
        <v>395</v>
      </c>
    </row>
    <row r="195" spans="1:103" x14ac:dyDescent="0.3">
      <c r="A195" s="98" t="s">
        <v>22</v>
      </c>
      <c r="B195" s="98" t="s">
        <v>22</v>
      </c>
      <c r="C195" s="132" t="s">
        <v>20</v>
      </c>
      <c r="D195" s="132" t="s">
        <v>125</v>
      </c>
      <c r="E195" s="98"/>
      <c r="F195" s="98"/>
      <c r="G195" s="245">
        <v>40496</v>
      </c>
      <c r="H195" s="1">
        <v>2010</v>
      </c>
      <c r="I195" s="75" t="s">
        <v>3</v>
      </c>
      <c r="J195" s="75" t="s">
        <v>114</v>
      </c>
      <c r="K195" s="155">
        <v>0.74</v>
      </c>
      <c r="L195" s="5" t="s">
        <v>395</v>
      </c>
      <c r="M195" s="35">
        <v>5.0999999999999996</v>
      </c>
      <c r="N195" s="35">
        <v>8.6</v>
      </c>
      <c r="O195" s="35">
        <v>16</v>
      </c>
      <c r="P195" s="35">
        <v>13</v>
      </c>
      <c r="Q195" s="35">
        <v>35</v>
      </c>
      <c r="R195" s="35">
        <v>20</v>
      </c>
      <c r="S195" s="35">
        <v>7.7</v>
      </c>
      <c r="T195" s="5">
        <f t="shared" si="29"/>
        <v>105.4</v>
      </c>
      <c r="U195" s="5">
        <f t="shared" si="30"/>
        <v>624.32432432432438</v>
      </c>
      <c r="V195" s="35">
        <v>9.4000000000000004E-3</v>
      </c>
      <c r="W195" s="35">
        <v>0.85</v>
      </c>
      <c r="X195" s="35">
        <v>0.21</v>
      </c>
      <c r="Y195" s="35">
        <v>0.19</v>
      </c>
      <c r="Z195" s="5" t="s">
        <v>395</v>
      </c>
      <c r="AA195" s="35">
        <v>5.7000000000000002E-2</v>
      </c>
      <c r="AB195" s="35">
        <v>2.9000000000000001E-2</v>
      </c>
      <c r="AC195" s="24" t="s">
        <v>395</v>
      </c>
      <c r="AD195" s="5" t="s">
        <v>395</v>
      </c>
      <c r="AE195" s="5">
        <f t="shared" si="26"/>
        <v>1.3453999999999997</v>
      </c>
      <c r="AF195" s="35" t="s">
        <v>46</v>
      </c>
      <c r="AG195" s="250" t="s">
        <v>395</v>
      </c>
      <c r="AH195" s="25">
        <f t="shared" si="24"/>
        <v>25.691489361702125</v>
      </c>
      <c r="AI195" s="5" t="s">
        <v>395</v>
      </c>
      <c r="AJ195" s="5" t="s">
        <v>395</v>
      </c>
      <c r="AK195" s="5" t="s">
        <v>395</v>
      </c>
      <c r="AL195" s="5" t="s">
        <v>395</v>
      </c>
      <c r="AM195" s="5" t="s">
        <v>395</v>
      </c>
      <c r="AN195" s="5" t="s">
        <v>395</v>
      </c>
      <c r="AO195" s="5" t="s">
        <v>395</v>
      </c>
      <c r="AP195" s="5" t="s">
        <v>395</v>
      </c>
      <c r="AQ195" s="5" t="s">
        <v>395</v>
      </c>
      <c r="AR195" s="5" t="s">
        <v>395</v>
      </c>
      <c r="AS195" s="5" t="s">
        <v>395</v>
      </c>
      <c r="AT195" s="5" t="s">
        <v>395</v>
      </c>
      <c r="AU195" s="5" t="s">
        <v>395</v>
      </c>
      <c r="AV195" s="5" t="s">
        <v>395</v>
      </c>
      <c r="AW195" s="5" t="s">
        <v>395</v>
      </c>
      <c r="AX195" s="5" t="s">
        <v>395</v>
      </c>
      <c r="AY195" s="5" t="s">
        <v>395</v>
      </c>
      <c r="AZ195" s="5" t="s">
        <v>395</v>
      </c>
      <c r="BA195" s="5" t="s">
        <v>395</v>
      </c>
      <c r="BB195" s="5" t="s">
        <v>395</v>
      </c>
      <c r="BC195" s="94">
        <v>483</v>
      </c>
      <c r="BD195" s="5" t="s">
        <v>395</v>
      </c>
      <c r="BE195" s="5" t="s">
        <v>395</v>
      </c>
      <c r="BF195" s="5" t="s">
        <v>395</v>
      </c>
      <c r="BG195" s="5" t="s">
        <v>395</v>
      </c>
      <c r="BH195" s="5" t="s">
        <v>395</v>
      </c>
      <c r="BI195" s="5" t="s">
        <v>395</v>
      </c>
      <c r="BJ195" s="5" t="s">
        <v>395</v>
      </c>
      <c r="BK195" s="5" t="s">
        <v>395</v>
      </c>
      <c r="BL195" s="5" t="s">
        <v>395</v>
      </c>
      <c r="BM195" s="5" t="s">
        <v>395</v>
      </c>
      <c r="BN195" s="5" t="s">
        <v>395</v>
      </c>
      <c r="BO195" s="5" t="s">
        <v>395</v>
      </c>
      <c r="BP195" s="5" t="s">
        <v>395</v>
      </c>
      <c r="BQ195" s="5" t="s">
        <v>395</v>
      </c>
      <c r="BR195" s="5" t="s">
        <v>395</v>
      </c>
      <c r="BS195" s="5" t="s">
        <v>395</v>
      </c>
      <c r="BT195" s="5" t="s">
        <v>395</v>
      </c>
      <c r="BU195" s="5" t="s">
        <v>395</v>
      </c>
      <c r="BV195" s="5" t="s">
        <v>395</v>
      </c>
      <c r="BW195" s="5" t="s">
        <v>395</v>
      </c>
      <c r="BX195" s="5" t="s">
        <v>395</v>
      </c>
      <c r="BY195" s="5" t="s">
        <v>395</v>
      </c>
      <c r="BZ195" s="5" t="s">
        <v>395</v>
      </c>
      <c r="CA195" s="5" t="s">
        <v>395</v>
      </c>
      <c r="CB195" s="5" t="s">
        <v>395</v>
      </c>
      <c r="CC195" s="5" t="s">
        <v>395</v>
      </c>
      <c r="CD195" s="5" t="s">
        <v>395</v>
      </c>
      <c r="CE195" s="5" t="s">
        <v>395</v>
      </c>
      <c r="CF195" s="5" t="s">
        <v>395</v>
      </c>
      <c r="CG195" s="5" t="s">
        <v>395</v>
      </c>
      <c r="CH195" s="5" t="s">
        <v>395</v>
      </c>
      <c r="CI195" s="5" t="s">
        <v>395</v>
      </c>
      <c r="CJ195" s="5" t="s">
        <v>395</v>
      </c>
      <c r="CK195" s="5" t="s">
        <v>395</v>
      </c>
      <c r="CL195" s="5" t="s">
        <v>395</v>
      </c>
      <c r="CM195" s="5" t="s">
        <v>395</v>
      </c>
      <c r="CN195" s="5" t="s">
        <v>395</v>
      </c>
      <c r="CO195" s="5" t="s">
        <v>395</v>
      </c>
      <c r="CP195" s="5" t="s">
        <v>395</v>
      </c>
      <c r="CQ195" s="5" t="s">
        <v>395</v>
      </c>
      <c r="CR195" s="5" t="s">
        <v>395</v>
      </c>
      <c r="CS195" s="5" t="s">
        <v>395</v>
      </c>
      <c r="CT195" s="5" t="s">
        <v>395</v>
      </c>
      <c r="CU195" s="5" t="s">
        <v>395</v>
      </c>
      <c r="CV195" s="5" t="s">
        <v>395</v>
      </c>
      <c r="CW195" s="5" t="s">
        <v>395</v>
      </c>
      <c r="CX195" s="5" t="s">
        <v>395</v>
      </c>
      <c r="CY195" s="252" t="s">
        <v>395</v>
      </c>
    </row>
    <row r="196" spans="1:103" x14ac:dyDescent="0.3">
      <c r="A196" s="98" t="s">
        <v>22</v>
      </c>
      <c r="B196" s="98" t="s">
        <v>22</v>
      </c>
      <c r="C196" s="132" t="s">
        <v>20</v>
      </c>
      <c r="D196" s="132" t="s">
        <v>125</v>
      </c>
      <c r="E196" s="98"/>
      <c r="F196" s="98"/>
      <c r="G196" s="245">
        <v>40496</v>
      </c>
      <c r="H196" s="1">
        <v>2010</v>
      </c>
      <c r="I196" s="75" t="s">
        <v>3</v>
      </c>
      <c r="J196" s="75" t="s">
        <v>114</v>
      </c>
      <c r="K196" s="155">
        <v>0.61</v>
      </c>
      <c r="L196" s="5" t="s">
        <v>395</v>
      </c>
      <c r="M196" s="35">
        <v>2.1</v>
      </c>
      <c r="N196" s="35">
        <v>5.2</v>
      </c>
      <c r="O196" s="35">
        <v>5</v>
      </c>
      <c r="P196" s="35">
        <v>4.8</v>
      </c>
      <c r="Q196" s="35">
        <v>8.4</v>
      </c>
      <c r="R196" s="35">
        <v>6</v>
      </c>
      <c r="S196" s="35">
        <v>2.2000000000000002</v>
      </c>
      <c r="T196" s="5">
        <f t="shared" si="29"/>
        <v>33.700000000000003</v>
      </c>
      <c r="U196" s="5">
        <f t="shared" si="30"/>
        <v>236.88524590163934</v>
      </c>
      <c r="V196" s="35">
        <v>6.9000000000000008E-3</v>
      </c>
      <c r="W196" s="35">
        <v>0.3</v>
      </c>
      <c r="X196" s="35">
        <v>0.11</v>
      </c>
      <c r="Y196" s="35">
        <v>0.13</v>
      </c>
      <c r="Z196" s="5" t="s">
        <v>395</v>
      </c>
      <c r="AA196" s="35">
        <v>2.3E-2</v>
      </c>
      <c r="AB196" s="35">
        <v>8.199999999999999E-3</v>
      </c>
      <c r="AC196" s="24" t="s">
        <v>395</v>
      </c>
      <c r="AD196" s="5" t="s">
        <v>395</v>
      </c>
      <c r="AE196" s="5">
        <f t="shared" si="26"/>
        <v>0.57810000000000006</v>
      </c>
      <c r="AF196" s="35" t="s">
        <v>46</v>
      </c>
      <c r="AG196" s="250" t="s">
        <v>395</v>
      </c>
      <c r="AH196" s="25">
        <f t="shared" si="24"/>
        <v>14.627659574468085</v>
      </c>
      <c r="AI196" s="5" t="s">
        <v>395</v>
      </c>
      <c r="AJ196" s="5" t="s">
        <v>395</v>
      </c>
      <c r="AK196" s="5" t="s">
        <v>395</v>
      </c>
      <c r="AL196" s="5" t="s">
        <v>395</v>
      </c>
      <c r="AM196" s="5" t="s">
        <v>395</v>
      </c>
      <c r="AN196" s="5" t="s">
        <v>395</v>
      </c>
      <c r="AO196" s="5" t="s">
        <v>395</v>
      </c>
      <c r="AP196" s="5" t="s">
        <v>395</v>
      </c>
      <c r="AQ196" s="5" t="s">
        <v>395</v>
      </c>
      <c r="AR196" s="5" t="s">
        <v>395</v>
      </c>
      <c r="AS196" s="5" t="s">
        <v>395</v>
      </c>
      <c r="AT196" s="5" t="s">
        <v>395</v>
      </c>
      <c r="AU196" s="5" t="s">
        <v>395</v>
      </c>
      <c r="AV196" s="5" t="s">
        <v>395</v>
      </c>
      <c r="AW196" s="5" t="s">
        <v>395</v>
      </c>
      <c r="AX196" s="5" t="s">
        <v>395</v>
      </c>
      <c r="AY196" s="5" t="s">
        <v>395</v>
      </c>
      <c r="AZ196" s="5" t="s">
        <v>395</v>
      </c>
      <c r="BA196" s="5" t="s">
        <v>395</v>
      </c>
      <c r="BB196" s="5" t="s">
        <v>395</v>
      </c>
      <c r="BC196" s="94">
        <v>275</v>
      </c>
      <c r="BD196" s="5" t="s">
        <v>395</v>
      </c>
      <c r="BE196" s="5" t="s">
        <v>395</v>
      </c>
      <c r="BF196" s="5" t="s">
        <v>395</v>
      </c>
      <c r="BG196" s="5" t="s">
        <v>395</v>
      </c>
      <c r="BH196" s="5" t="s">
        <v>395</v>
      </c>
      <c r="BI196" s="5" t="s">
        <v>395</v>
      </c>
      <c r="BJ196" s="5" t="s">
        <v>395</v>
      </c>
      <c r="BK196" s="5" t="s">
        <v>395</v>
      </c>
      <c r="BL196" s="5" t="s">
        <v>395</v>
      </c>
      <c r="BM196" s="5" t="s">
        <v>395</v>
      </c>
      <c r="BN196" s="5" t="s">
        <v>395</v>
      </c>
      <c r="BO196" s="5" t="s">
        <v>395</v>
      </c>
      <c r="BP196" s="5" t="s">
        <v>395</v>
      </c>
      <c r="BQ196" s="5" t="s">
        <v>395</v>
      </c>
      <c r="BR196" s="5" t="s">
        <v>395</v>
      </c>
      <c r="BS196" s="5" t="s">
        <v>395</v>
      </c>
      <c r="BT196" s="5" t="s">
        <v>395</v>
      </c>
      <c r="BU196" s="5" t="s">
        <v>395</v>
      </c>
      <c r="BV196" s="5" t="s">
        <v>395</v>
      </c>
      <c r="BW196" s="5" t="s">
        <v>395</v>
      </c>
      <c r="BX196" s="5" t="s">
        <v>395</v>
      </c>
      <c r="BY196" s="5" t="s">
        <v>395</v>
      </c>
      <c r="BZ196" s="5" t="s">
        <v>395</v>
      </c>
      <c r="CA196" s="5" t="s">
        <v>395</v>
      </c>
      <c r="CB196" s="5" t="s">
        <v>395</v>
      </c>
      <c r="CC196" s="5" t="s">
        <v>395</v>
      </c>
      <c r="CD196" s="5" t="s">
        <v>395</v>
      </c>
      <c r="CE196" s="5" t="s">
        <v>395</v>
      </c>
      <c r="CF196" s="5" t="s">
        <v>395</v>
      </c>
      <c r="CG196" s="5" t="s">
        <v>395</v>
      </c>
      <c r="CH196" s="5" t="s">
        <v>395</v>
      </c>
      <c r="CI196" s="5" t="s">
        <v>395</v>
      </c>
      <c r="CJ196" s="5" t="s">
        <v>395</v>
      </c>
      <c r="CK196" s="5" t="s">
        <v>395</v>
      </c>
      <c r="CL196" s="5" t="s">
        <v>395</v>
      </c>
      <c r="CM196" s="5" t="s">
        <v>395</v>
      </c>
      <c r="CN196" s="5" t="s">
        <v>395</v>
      </c>
      <c r="CO196" s="5" t="s">
        <v>395</v>
      </c>
      <c r="CP196" s="5" t="s">
        <v>395</v>
      </c>
      <c r="CQ196" s="5" t="s">
        <v>395</v>
      </c>
      <c r="CR196" s="5" t="s">
        <v>395</v>
      </c>
      <c r="CS196" s="5" t="s">
        <v>395</v>
      </c>
      <c r="CT196" s="5" t="s">
        <v>395</v>
      </c>
      <c r="CU196" s="5" t="s">
        <v>395</v>
      </c>
      <c r="CV196" s="5" t="s">
        <v>395</v>
      </c>
      <c r="CW196" s="5" t="s">
        <v>395</v>
      </c>
      <c r="CX196" s="5" t="s">
        <v>395</v>
      </c>
      <c r="CY196" s="252" t="s">
        <v>395</v>
      </c>
    </row>
    <row r="197" spans="1:103" x14ac:dyDescent="0.3">
      <c r="A197" s="98" t="s">
        <v>22</v>
      </c>
      <c r="B197" s="98" t="s">
        <v>22</v>
      </c>
      <c r="C197" s="132" t="s">
        <v>20</v>
      </c>
      <c r="D197" s="132" t="s">
        <v>125</v>
      </c>
      <c r="E197" s="98"/>
      <c r="F197" s="98"/>
      <c r="G197" s="245">
        <v>40496</v>
      </c>
      <c r="H197" s="1">
        <v>2010</v>
      </c>
      <c r="I197" s="75" t="s">
        <v>3</v>
      </c>
      <c r="J197" s="75" t="s">
        <v>114</v>
      </c>
      <c r="K197" s="155">
        <v>0.52</v>
      </c>
      <c r="L197" s="5" t="s">
        <v>395</v>
      </c>
      <c r="M197" s="35">
        <v>4.0999999999999996</v>
      </c>
      <c r="N197" s="35">
        <v>7.4</v>
      </c>
      <c r="O197" s="35">
        <v>9.5</v>
      </c>
      <c r="P197" s="35">
        <v>6.8</v>
      </c>
      <c r="Q197" s="35">
        <v>14</v>
      </c>
      <c r="R197" s="35">
        <v>10</v>
      </c>
      <c r="S197" s="35">
        <v>3.2</v>
      </c>
      <c r="T197" s="5">
        <f t="shared" si="29"/>
        <v>55</v>
      </c>
      <c r="U197" s="5">
        <f t="shared" si="30"/>
        <v>463.46153846153845</v>
      </c>
      <c r="V197" s="35">
        <v>0.01</v>
      </c>
      <c r="W197" s="35">
        <v>0.45</v>
      </c>
      <c r="X197" s="35">
        <v>0.15</v>
      </c>
      <c r="Y197" s="35">
        <v>0.21</v>
      </c>
      <c r="Z197" s="5" t="s">
        <v>395</v>
      </c>
      <c r="AA197" s="35">
        <v>3.6999999999999998E-2</v>
      </c>
      <c r="AB197" s="35">
        <v>2.4E-2</v>
      </c>
      <c r="AC197" s="24" t="s">
        <v>395</v>
      </c>
      <c r="AD197" s="5" t="s">
        <v>395</v>
      </c>
      <c r="AE197" s="5">
        <f t="shared" si="26"/>
        <v>0.88100000000000012</v>
      </c>
      <c r="AF197" s="35" t="s">
        <v>46</v>
      </c>
      <c r="AG197" s="250" t="s">
        <v>395</v>
      </c>
      <c r="AH197" s="25">
        <f t="shared" si="24"/>
        <v>13.24468085106383</v>
      </c>
      <c r="AI197" s="5" t="s">
        <v>395</v>
      </c>
      <c r="AJ197" s="5" t="s">
        <v>395</v>
      </c>
      <c r="AK197" s="5" t="s">
        <v>395</v>
      </c>
      <c r="AL197" s="5" t="s">
        <v>395</v>
      </c>
      <c r="AM197" s="5" t="s">
        <v>395</v>
      </c>
      <c r="AN197" s="5" t="s">
        <v>395</v>
      </c>
      <c r="AO197" s="5" t="s">
        <v>395</v>
      </c>
      <c r="AP197" s="5" t="s">
        <v>395</v>
      </c>
      <c r="AQ197" s="5" t="s">
        <v>395</v>
      </c>
      <c r="AR197" s="5" t="s">
        <v>395</v>
      </c>
      <c r="AS197" s="5" t="s">
        <v>395</v>
      </c>
      <c r="AT197" s="5" t="s">
        <v>395</v>
      </c>
      <c r="AU197" s="5" t="s">
        <v>395</v>
      </c>
      <c r="AV197" s="5" t="s">
        <v>395</v>
      </c>
      <c r="AW197" s="5" t="s">
        <v>395</v>
      </c>
      <c r="AX197" s="5" t="s">
        <v>395</v>
      </c>
      <c r="AY197" s="5" t="s">
        <v>395</v>
      </c>
      <c r="AZ197" s="5" t="s">
        <v>395</v>
      </c>
      <c r="BA197" s="5" t="s">
        <v>395</v>
      </c>
      <c r="BB197" s="5" t="s">
        <v>395</v>
      </c>
      <c r="BC197" s="94">
        <v>249</v>
      </c>
      <c r="BD197" s="5" t="s">
        <v>395</v>
      </c>
      <c r="BE197" s="5" t="s">
        <v>395</v>
      </c>
      <c r="BF197" s="5" t="s">
        <v>395</v>
      </c>
      <c r="BG197" s="5" t="s">
        <v>395</v>
      </c>
      <c r="BH197" s="5" t="s">
        <v>395</v>
      </c>
      <c r="BI197" s="5" t="s">
        <v>395</v>
      </c>
      <c r="BJ197" s="5" t="s">
        <v>395</v>
      </c>
      <c r="BK197" s="5" t="s">
        <v>395</v>
      </c>
      <c r="BL197" s="5" t="s">
        <v>395</v>
      </c>
      <c r="BM197" s="5" t="s">
        <v>395</v>
      </c>
      <c r="BN197" s="5" t="s">
        <v>395</v>
      </c>
      <c r="BO197" s="5" t="s">
        <v>395</v>
      </c>
      <c r="BP197" s="5" t="s">
        <v>395</v>
      </c>
      <c r="BQ197" s="5" t="s">
        <v>395</v>
      </c>
      <c r="BR197" s="5" t="s">
        <v>395</v>
      </c>
      <c r="BS197" s="5" t="s">
        <v>395</v>
      </c>
      <c r="BT197" s="5" t="s">
        <v>395</v>
      </c>
      <c r="BU197" s="5" t="s">
        <v>395</v>
      </c>
      <c r="BV197" s="5" t="s">
        <v>395</v>
      </c>
      <c r="BW197" s="5" t="s">
        <v>395</v>
      </c>
      <c r="BX197" s="5" t="s">
        <v>395</v>
      </c>
      <c r="BY197" s="5" t="s">
        <v>395</v>
      </c>
      <c r="BZ197" s="5" t="s">
        <v>395</v>
      </c>
      <c r="CA197" s="5" t="s">
        <v>395</v>
      </c>
      <c r="CB197" s="5" t="s">
        <v>395</v>
      </c>
      <c r="CC197" s="5" t="s">
        <v>395</v>
      </c>
      <c r="CD197" s="5" t="s">
        <v>395</v>
      </c>
      <c r="CE197" s="5" t="s">
        <v>395</v>
      </c>
      <c r="CF197" s="5" t="s">
        <v>395</v>
      </c>
      <c r="CG197" s="5" t="s">
        <v>395</v>
      </c>
      <c r="CH197" s="5" t="s">
        <v>395</v>
      </c>
      <c r="CI197" s="5" t="s">
        <v>395</v>
      </c>
      <c r="CJ197" s="5" t="s">
        <v>395</v>
      </c>
      <c r="CK197" s="5" t="s">
        <v>395</v>
      </c>
      <c r="CL197" s="5" t="s">
        <v>395</v>
      </c>
      <c r="CM197" s="5" t="s">
        <v>395</v>
      </c>
      <c r="CN197" s="5" t="s">
        <v>395</v>
      </c>
      <c r="CO197" s="5" t="s">
        <v>395</v>
      </c>
      <c r="CP197" s="5" t="s">
        <v>395</v>
      </c>
      <c r="CQ197" s="5" t="s">
        <v>395</v>
      </c>
      <c r="CR197" s="5" t="s">
        <v>395</v>
      </c>
      <c r="CS197" s="5" t="s">
        <v>395</v>
      </c>
      <c r="CT197" s="5" t="s">
        <v>395</v>
      </c>
      <c r="CU197" s="5" t="s">
        <v>395</v>
      </c>
      <c r="CV197" s="5" t="s">
        <v>395</v>
      </c>
      <c r="CW197" s="5" t="s">
        <v>395</v>
      </c>
      <c r="CX197" s="5" t="s">
        <v>395</v>
      </c>
      <c r="CY197" s="252" t="s">
        <v>395</v>
      </c>
    </row>
    <row r="198" spans="1:103" x14ac:dyDescent="0.3">
      <c r="A198" s="98" t="s">
        <v>22</v>
      </c>
      <c r="B198" s="98" t="s">
        <v>22</v>
      </c>
      <c r="C198" s="132" t="s">
        <v>20</v>
      </c>
      <c r="D198" s="132" t="s">
        <v>125</v>
      </c>
      <c r="E198" s="98"/>
      <c r="F198" s="98"/>
      <c r="G198" s="245">
        <v>40496</v>
      </c>
      <c r="H198" s="1">
        <v>2010</v>
      </c>
      <c r="I198" s="75" t="s">
        <v>3</v>
      </c>
      <c r="J198" s="75" t="s">
        <v>114</v>
      </c>
      <c r="K198" s="155">
        <v>0.64</v>
      </c>
      <c r="L198" s="5" t="s">
        <v>395</v>
      </c>
      <c r="M198" s="35">
        <v>0.91</v>
      </c>
      <c r="N198" s="35">
        <v>1.6</v>
      </c>
      <c r="O198" s="35">
        <v>2.1</v>
      </c>
      <c r="P198" s="35">
        <v>2</v>
      </c>
      <c r="Q198" s="35">
        <v>4.7</v>
      </c>
      <c r="R198" s="35">
        <v>3.2</v>
      </c>
      <c r="S198" s="35">
        <v>1.1000000000000001</v>
      </c>
      <c r="T198" s="5">
        <f t="shared" si="29"/>
        <v>15.610000000000001</v>
      </c>
      <c r="U198" s="5">
        <f t="shared" si="30"/>
        <v>106.32812500000001</v>
      </c>
      <c r="V198" s="35">
        <v>3.2000000000000002E-3</v>
      </c>
      <c r="W198" s="35">
        <v>0.18</v>
      </c>
      <c r="X198" s="35">
        <v>6.8000000000000005E-2</v>
      </c>
      <c r="Y198" s="35">
        <v>6.7000000000000004E-2</v>
      </c>
      <c r="Z198" s="5" t="s">
        <v>395</v>
      </c>
      <c r="AA198" s="35">
        <v>2.7E-2</v>
      </c>
      <c r="AB198" s="35">
        <v>1.2E-2</v>
      </c>
      <c r="AC198" s="24" t="s">
        <v>395</v>
      </c>
      <c r="AD198" s="5" t="s">
        <v>395</v>
      </c>
      <c r="AE198" s="5">
        <f t="shared" si="26"/>
        <v>0.35720000000000002</v>
      </c>
      <c r="AF198" s="35" t="s">
        <v>164</v>
      </c>
      <c r="AG198" s="250" t="s">
        <v>395</v>
      </c>
      <c r="AH198" s="25">
        <f t="shared" si="24"/>
        <v>0.70212765957446799</v>
      </c>
      <c r="AI198" s="5" t="s">
        <v>395</v>
      </c>
      <c r="AJ198" s="5" t="s">
        <v>395</v>
      </c>
      <c r="AK198" s="5" t="s">
        <v>395</v>
      </c>
      <c r="AL198" s="5" t="s">
        <v>395</v>
      </c>
      <c r="AM198" s="5" t="s">
        <v>395</v>
      </c>
      <c r="AN198" s="5" t="s">
        <v>395</v>
      </c>
      <c r="AO198" s="5" t="s">
        <v>395</v>
      </c>
      <c r="AP198" s="5" t="s">
        <v>395</v>
      </c>
      <c r="AQ198" s="5" t="s">
        <v>395</v>
      </c>
      <c r="AR198" s="5" t="s">
        <v>395</v>
      </c>
      <c r="AS198" s="5" t="s">
        <v>395</v>
      </c>
      <c r="AT198" s="5" t="s">
        <v>395</v>
      </c>
      <c r="AU198" s="5" t="s">
        <v>395</v>
      </c>
      <c r="AV198" s="5" t="s">
        <v>395</v>
      </c>
      <c r="AW198" s="5" t="s">
        <v>395</v>
      </c>
      <c r="AX198" s="5" t="s">
        <v>395</v>
      </c>
      <c r="AY198" s="5" t="s">
        <v>395</v>
      </c>
      <c r="AZ198" s="5" t="s">
        <v>395</v>
      </c>
      <c r="BA198" s="5" t="s">
        <v>395</v>
      </c>
      <c r="BB198" s="5" t="s">
        <v>395</v>
      </c>
      <c r="BC198" s="94">
        <v>13.2</v>
      </c>
      <c r="BD198" s="5" t="s">
        <v>395</v>
      </c>
      <c r="BE198" s="5" t="s">
        <v>395</v>
      </c>
      <c r="BF198" s="5" t="s">
        <v>395</v>
      </c>
      <c r="BG198" s="5" t="s">
        <v>395</v>
      </c>
      <c r="BH198" s="5" t="s">
        <v>395</v>
      </c>
      <c r="BI198" s="5" t="s">
        <v>395</v>
      </c>
      <c r="BJ198" s="5" t="s">
        <v>395</v>
      </c>
      <c r="BK198" s="5" t="s">
        <v>395</v>
      </c>
      <c r="BL198" s="5" t="s">
        <v>395</v>
      </c>
      <c r="BM198" s="5" t="s">
        <v>395</v>
      </c>
      <c r="BN198" s="5" t="s">
        <v>395</v>
      </c>
      <c r="BO198" s="5" t="s">
        <v>395</v>
      </c>
      <c r="BP198" s="5" t="s">
        <v>395</v>
      </c>
      <c r="BQ198" s="5" t="s">
        <v>395</v>
      </c>
      <c r="BR198" s="5" t="s">
        <v>395</v>
      </c>
      <c r="BS198" s="5" t="s">
        <v>395</v>
      </c>
      <c r="BT198" s="5" t="s">
        <v>395</v>
      </c>
      <c r="BU198" s="5" t="s">
        <v>395</v>
      </c>
      <c r="BV198" s="5" t="s">
        <v>395</v>
      </c>
      <c r="BW198" s="5" t="s">
        <v>395</v>
      </c>
      <c r="BX198" s="5" t="s">
        <v>395</v>
      </c>
      <c r="BY198" s="5" t="s">
        <v>395</v>
      </c>
      <c r="BZ198" s="5" t="s">
        <v>395</v>
      </c>
      <c r="CA198" s="5" t="s">
        <v>395</v>
      </c>
      <c r="CB198" s="5" t="s">
        <v>395</v>
      </c>
      <c r="CC198" s="5" t="s">
        <v>395</v>
      </c>
      <c r="CD198" s="5" t="s">
        <v>395</v>
      </c>
      <c r="CE198" s="5" t="s">
        <v>395</v>
      </c>
      <c r="CF198" s="5" t="s">
        <v>395</v>
      </c>
      <c r="CG198" s="5" t="s">
        <v>395</v>
      </c>
      <c r="CH198" s="5" t="s">
        <v>395</v>
      </c>
      <c r="CI198" s="5" t="s">
        <v>395</v>
      </c>
      <c r="CJ198" s="5" t="s">
        <v>395</v>
      </c>
      <c r="CK198" s="5" t="s">
        <v>395</v>
      </c>
      <c r="CL198" s="5" t="s">
        <v>395</v>
      </c>
      <c r="CM198" s="5" t="s">
        <v>395</v>
      </c>
      <c r="CN198" s="5" t="s">
        <v>395</v>
      </c>
      <c r="CO198" s="5" t="s">
        <v>395</v>
      </c>
      <c r="CP198" s="5" t="s">
        <v>395</v>
      </c>
      <c r="CQ198" s="5" t="s">
        <v>395</v>
      </c>
      <c r="CR198" s="5" t="s">
        <v>395</v>
      </c>
      <c r="CS198" s="5" t="s">
        <v>395</v>
      </c>
      <c r="CT198" s="5" t="s">
        <v>395</v>
      </c>
      <c r="CU198" s="5" t="s">
        <v>395</v>
      </c>
      <c r="CV198" s="5" t="s">
        <v>395</v>
      </c>
      <c r="CW198" s="5" t="s">
        <v>395</v>
      </c>
      <c r="CX198" s="5" t="s">
        <v>395</v>
      </c>
      <c r="CY198" s="252" t="s">
        <v>395</v>
      </c>
    </row>
    <row r="199" spans="1:103" x14ac:dyDescent="0.3">
      <c r="A199" s="98" t="s">
        <v>22</v>
      </c>
      <c r="B199" s="98" t="s">
        <v>22</v>
      </c>
      <c r="C199" s="132" t="s">
        <v>20</v>
      </c>
      <c r="D199" s="132" t="s">
        <v>125</v>
      </c>
      <c r="E199" s="98"/>
      <c r="F199" s="98"/>
      <c r="G199" s="245">
        <v>40496</v>
      </c>
      <c r="H199" s="1">
        <v>2010</v>
      </c>
      <c r="I199" s="75" t="s">
        <v>3</v>
      </c>
      <c r="J199" s="75" t="s">
        <v>114</v>
      </c>
      <c r="K199" s="155">
        <v>0.71</v>
      </c>
      <c r="L199" s="5" t="s">
        <v>395</v>
      </c>
      <c r="M199" s="35">
        <v>1.9</v>
      </c>
      <c r="N199" s="35">
        <v>5</v>
      </c>
      <c r="O199" s="35">
        <v>8.3000000000000007</v>
      </c>
      <c r="P199" s="35">
        <v>8.1</v>
      </c>
      <c r="Q199" s="35">
        <v>15</v>
      </c>
      <c r="R199" s="35">
        <v>12</v>
      </c>
      <c r="S199" s="35">
        <v>3.9</v>
      </c>
      <c r="T199" s="5">
        <f t="shared" si="29"/>
        <v>54.199999999999996</v>
      </c>
      <c r="U199" s="5">
        <f t="shared" si="30"/>
        <v>324.64788732394368</v>
      </c>
      <c r="V199" s="35">
        <v>6.3E-3</v>
      </c>
      <c r="W199" s="35">
        <v>0.63</v>
      </c>
      <c r="X199" s="35">
        <v>0.21</v>
      </c>
      <c r="Y199" s="35">
        <v>0.24</v>
      </c>
      <c r="Z199" s="5" t="s">
        <v>395</v>
      </c>
      <c r="AA199" s="35">
        <v>6.5000000000000002E-2</v>
      </c>
      <c r="AB199" s="35">
        <v>4.2999999999999997E-2</v>
      </c>
      <c r="AC199" s="24" t="s">
        <v>395</v>
      </c>
      <c r="AD199" s="5" t="s">
        <v>395</v>
      </c>
      <c r="AE199" s="5">
        <f t="shared" si="26"/>
        <v>1.1942999999999999</v>
      </c>
      <c r="AF199" s="35" t="s">
        <v>46</v>
      </c>
      <c r="AG199" s="250" t="s">
        <v>395</v>
      </c>
      <c r="AH199" s="25">
        <f t="shared" si="24"/>
        <v>15.212765957446807</v>
      </c>
      <c r="AI199" s="5" t="s">
        <v>395</v>
      </c>
      <c r="AJ199" s="5" t="s">
        <v>395</v>
      </c>
      <c r="AK199" s="5" t="s">
        <v>395</v>
      </c>
      <c r="AL199" s="5" t="s">
        <v>395</v>
      </c>
      <c r="AM199" s="5" t="s">
        <v>395</v>
      </c>
      <c r="AN199" s="5" t="s">
        <v>395</v>
      </c>
      <c r="AO199" s="5" t="s">
        <v>395</v>
      </c>
      <c r="AP199" s="5" t="s">
        <v>395</v>
      </c>
      <c r="AQ199" s="5" t="s">
        <v>395</v>
      </c>
      <c r="AR199" s="5" t="s">
        <v>395</v>
      </c>
      <c r="AS199" s="5" t="s">
        <v>395</v>
      </c>
      <c r="AT199" s="5" t="s">
        <v>395</v>
      </c>
      <c r="AU199" s="5" t="s">
        <v>395</v>
      </c>
      <c r="AV199" s="5" t="s">
        <v>395</v>
      </c>
      <c r="AW199" s="5" t="s">
        <v>395</v>
      </c>
      <c r="AX199" s="5" t="s">
        <v>395</v>
      </c>
      <c r="AY199" s="5" t="s">
        <v>395</v>
      </c>
      <c r="AZ199" s="5" t="s">
        <v>395</v>
      </c>
      <c r="BA199" s="5" t="s">
        <v>395</v>
      </c>
      <c r="BB199" s="5" t="s">
        <v>395</v>
      </c>
      <c r="BC199" s="94">
        <v>286</v>
      </c>
      <c r="BD199" s="5" t="s">
        <v>395</v>
      </c>
      <c r="BE199" s="5" t="s">
        <v>395</v>
      </c>
      <c r="BF199" s="5" t="s">
        <v>395</v>
      </c>
      <c r="BG199" s="5" t="s">
        <v>395</v>
      </c>
      <c r="BH199" s="5" t="s">
        <v>395</v>
      </c>
      <c r="BI199" s="5" t="s">
        <v>395</v>
      </c>
      <c r="BJ199" s="5" t="s">
        <v>395</v>
      </c>
      <c r="BK199" s="5" t="s">
        <v>395</v>
      </c>
      <c r="BL199" s="5" t="s">
        <v>395</v>
      </c>
      <c r="BM199" s="5" t="s">
        <v>395</v>
      </c>
      <c r="BN199" s="5" t="s">
        <v>395</v>
      </c>
      <c r="BO199" s="5" t="s">
        <v>395</v>
      </c>
      <c r="BP199" s="5" t="s">
        <v>395</v>
      </c>
      <c r="BQ199" s="5" t="s">
        <v>395</v>
      </c>
      <c r="BR199" s="5" t="s">
        <v>395</v>
      </c>
      <c r="BS199" s="5" t="s">
        <v>395</v>
      </c>
      <c r="BT199" s="5" t="s">
        <v>395</v>
      </c>
      <c r="BU199" s="5" t="s">
        <v>395</v>
      </c>
      <c r="BV199" s="5" t="s">
        <v>395</v>
      </c>
      <c r="BW199" s="5" t="s">
        <v>395</v>
      </c>
      <c r="BX199" s="5" t="s">
        <v>395</v>
      </c>
      <c r="BY199" s="5" t="s">
        <v>395</v>
      </c>
      <c r="BZ199" s="5" t="s">
        <v>395</v>
      </c>
      <c r="CA199" s="5" t="s">
        <v>395</v>
      </c>
      <c r="CB199" s="5" t="s">
        <v>395</v>
      </c>
      <c r="CC199" s="5" t="s">
        <v>395</v>
      </c>
      <c r="CD199" s="5" t="s">
        <v>395</v>
      </c>
      <c r="CE199" s="5" t="s">
        <v>395</v>
      </c>
      <c r="CF199" s="5" t="s">
        <v>395</v>
      </c>
      <c r="CG199" s="5" t="s">
        <v>395</v>
      </c>
      <c r="CH199" s="5" t="s">
        <v>395</v>
      </c>
      <c r="CI199" s="5" t="s">
        <v>395</v>
      </c>
      <c r="CJ199" s="5" t="s">
        <v>395</v>
      </c>
      <c r="CK199" s="5" t="s">
        <v>395</v>
      </c>
      <c r="CL199" s="5" t="s">
        <v>395</v>
      </c>
      <c r="CM199" s="5" t="s">
        <v>395</v>
      </c>
      <c r="CN199" s="5" t="s">
        <v>395</v>
      </c>
      <c r="CO199" s="5" t="s">
        <v>395</v>
      </c>
      <c r="CP199" s="5" t="s">
        <v>395</v>
      </c>
      <c r="CQ199" s="5" t="s">
        <v>395</v>
      </c>
      <c r="CR199" s="5" t="s">
        <v>395</v>
      </c>
      <c r="CS199" s="5" t="s">
        <v>395</v>
      </c>
      <c r="CT199" s="5" t="s">
        <v>395</v>
      </c>
      <c r="CU199" s="5" t="s">
        <v>395</v>
      </c>
      <c r="CV199" s="5" t="s">
        <v>395</v>
      </c>
      <c r="CW199" s="5" t="s">
        <v>395</v>
      </c>
      <c r="CX199" s="5" t="s">
        <v>395</v>
      </c>
      <c r="CY199" s="252" t="s">
        <v>395</v>
      </c>
    </row>
    <row r="200" spans="1:103" x14ac:dyDescent="0.3">
      <c r="A200" s="98" t="s">
        <v>21</v>
      </c>
      <c r="B200" s="98" t="s">
        <v>21</v>
      </c>
      <c r="C200" s="132" t="s">
        <v>20</v>
      </c>
      <c r="D200" s="132" t="s">
        <v>125</v>
      </c>
      <c r="E200" s="98"/>
      <c r="F200" s="98"/>
      <c r="G200" s="245">
        <v>40433</v>
      </c>
      <c r="H200" s="1">
        <v>2010</v>
      </c>
      <c r="I200" s="75" t="s">
        <v>3</v>
      </c>
      <c r="J200" s="75" t="s">
        <v>114</v>
      </c>
      <c r="K200" s="155">
        <v>0.48</v>
      </c>
      <c r="L200" s="5" t="s">
        <v>395</v>
      </c>
      <c r="M200" s="35">
        <v>0.23</v>
      </c>
      <c r="N200" s="35">
        <v>0.44</v>
      </c>
      <c r="O200" s="35">
        <v>2.5</v>
      </c>
      <c r="P200" s="35">
        <v>2</v>
      </c>
      <c r="Q200" s="35">
        <v>7</v>
      </c>
      <c r="R200" s="35">
        <v>4</v>
      </c>
      <c r="S200" s="35">
        <v>2</v>
      </c>
      <c r="T200" s="5">
        <f t="shared" si="29"/>
        <v>18.170000000000002</v>
      </c>
      <c r="U200" s="5">
        <f t="shared" si="30"/>
        <v>168.43750000000003</v>
      </c>
      <c r="V200" s="35">
        <v>1.7999999999999999E-2</v>
      </c>
      <c r="W200" s="35">
        <v>0.39</v>
      </c>
      <c r="X200" s="35">
        <v>9.8000000000000004E-2</v>
      </c>
      <c r="Y200" s="35">
        <v>7.9000000000000001E-2</v>
      </c>
      <c r="Z200" s="5" t="s">
        <v>395</v>
      </c>
      <c r="AA200" s="35">
        <v>2.7E-2</v>
      </c>
      <c r="AB200" s="35">
        <v>1.2999999999999999E-2</v>
      </c>
      <c r="AC200" s="24" t="s">
        <v>395</v>
      </c>
      <c r="AD200" s="5" t="s">
        <v>395</v>
      </c>
      <c r="AE200" s="5">
        <f t="shared" si="26"/>
        <v>0.62500000000000011</v>
      </c>
      <c r="AF200" s="35" t="s">
        <v>46</v>
      </c>
      <c r="AG200" s="250" t="s">
        <v>395</v>
      </c>
      <c r="AH200" s="25">
        <f t="shared" si="24"/>
        <v>26.808510638297872</v>
      </c>
      <c r="AI200" s="5" t="s">
        <v>395</v>
      </c>
      <c r="AJ200" s="5" t="s">
        <v>395</v>
      </c>
      <c r="AK200" s="5" t="s">
        <v>395</v>
      </c>
      <c r="AL200" s="5" t="s">
        <v>395</v>
      </c>
      <c r="AM200" s="5" t="s">
        <v>395</v>
      </c>
      <c r="AN200" s="5" t="s">
        <v>395</v>
      </c>
      <c r="AO200" s="5" t="s">
        <v>395</v>
      </c>
      <c r="AP200" s="5" t="s">
        <v>395</v>
      </c>
      <c r="AQ200" s="5" t="s">
        <v>395</v>
      </c>
      <c r="AR200" s="5" t="s">
        <v>395</v>
      </c>
      <c r="AS200" s="5" t="s">
        <v>395</v>
      </c>
      <c r="AT200" s="5" t="s">
        <v>395</v>
      </c>
      <c r="AU200" s="5" t="s">
        <v>395</v>
      </c>
      <c r="AV200" s="5" t="s">
        <v>395</v>
      </c>
      <c r="AW200" s="5" t="s">
        <v>395</v>
      </c>
      <c r="AX200" s="5" t="s">
        <v>395</v>
      </c>
      <c r="AY200" s="5" t="s">
        <v>395</v>
      </c>
      <c r="AZ200" s="5" t="s">
        <v>395</v>
      </c>
      <c r="BA200" s="5" t="s">
        <v>395</v>
      </c>
      <c r="BB200" s="5" t="s">
        <v>395</v>
      </c>
      <c r="BC200" s="94">
        <v>504</v>
      </c>
      <c r="BD200" s="5" t="s">
        <v>395</v>
      </c>
      <c r="BE200" s="5" t="s">
        <v>395</v>
      </c>
      <c r="BF200" s="5" t="s">
        <v>395</v>
      </c>
      <c r="BG200" s="5" t="s">
        <v>395</v>
      </c>
      <c r="BH200" s="5" t="s">
        <v>395</v>
      </c>
      <c r="BI200" s="5" t="s">
        <v>395</v>
      </c>
      <c r="BJ200" s="5" t="s">
        <v>395</v>
      </c>
      <c r="BK200" s="5" t="s">
        <v>395</v>
      </c>
      <c r="BL200" s="5" t="s">
        <v>395</v>
      </c>
      <c r="BM200" s="5" t="s">
        <v>395</v>
      </c>
      <c r="BN200" s="5" t="s">
        <v>395</v>
      </c>
      <c r="BO200" s="5" t="s">
        <v>395</v>
      </c>
      <c r="BP200" s="5" t="s">
        <v>395</v>
      </c>
      <c r="BQ200" s="5" t="s">
        <v>395</v>
      </c>
      <c r="BR200" s="5" t="s">
        <v>395</v>
      </c>
      <c r="BS200" s="5" t="s">
        <v>395</v>
      </c>
      <c r="BT200" s="5" t="s">
        <v>395</v>
      </c>
      <c r="BU200" s="5" t="s">
        <v>395</v>
      </c>
      <c r="BV200" s="5" t="s">
        <v>395</v>
      </c>
      <c r="BW200" s="5" t="s">
        <v>395</v>
      </c>
      <c r="BX200" s="5" t="s">
        <v>395</v>
      </c>
      <c r="BY200" s="5" t="s">
        <v>395</v>
      </c>
      <c r="BZ200" s="5" t="s">
        <v>395</v>
      </c>
      <c r="CA200" s="5" t="s">
        <v>395</v>
      </c>
      <c r="CB200" s="5" t="s">
        <v>395</v>
      </c>
      <c r="CC200" s="5" t="s">
        <v>395</v>
      </c>
      <c r="CD200" s="5" t="s">
        <v>395</v>
      </c>
      <c r="CE200" s="5" t="s">
        <v>395</v>
      </c>
      <c r="CF200" s="5" t="s">
        <v>395</v>
      </c>
      <c r="CG200" s="5" t="s">
        <v>395</v>
      </c>
      <c r="CH200" s="5" t="s">
        <v>395</v>
      </c>
      <c r="CI200" s="5" t="s">
        <v>395</v>
      </c>
      <c r="CJ200" s="5" t="s">
        <v>395</v>
      </c>
      <c r="CK200" s="5" t="s">
        <v>395</v>
      </c>
      <c r="CL200" s="5" t="s">
        <v>395</v>
      </c>
      <c r="CM200" s="5" t="s">
        <v>395</v>
      </c>
      <c r="CN200" s="5" t="s">
        <v>395</v>
      </c>
      <c r="CO200" s="5" t="s">
        <v>395</v>
      </c>
      <c r="CP200" s="5" t="s">
        <v>395</v>
      </c>
      <c r="CQ200" s="5" t="s">
        <v>395</v>
      </c>
      <c r="CR200" s="5" t="s">
        <v>395</v>
      </c>
      <c r="CS200" s="5" t="s">
        <v>395</v>
      </c>
      <c r="CT200" s="5" t="s">
        <v>395</v>
      </c>
      <c r="CU200" s="5" t="s">
        <v>395</v>
      </c>
      <c r="CV200" s="5" t="s">
        <v>395</v>
      </c>
      <c r="CW200" s="5" t="s">
        <v>395</v>
      </c>
      <c r="CX200" s="5" t="s">
        <v>395</v>
      </c>
      <c r="CY200" s="252" t="s">
        <v>395</v>
      </c>
    </row>
    <row r="201" spans="1:103" x14ac:dyDescent="0.3">
      <c r="A201" s="98" t="s">
        <v>21</v>
      </c>
      <c r="B201" s="98" t="s">
        <v>21</v>
      </c>
      <c r="C201" s="132" t="s">
        <v>20</v>
      </c>
      <c r="D201" s="132" t="s">
        <v>125</v>
      </c>
      <c r="E201" s="98"/>
      <c r="F201" s="98"/>
      <c r="G201" s="245">
        <v>40433</v>
      </c>
      <c r="H201" s="1">
        <v>2010</v>
      </c>
      <c r="I201" s="75" t="s">
        <v>3</v>
      </c>
      <c r="J201" s="75" t="s">
        <v>114</v>
      </c>
      <c r="K201" s="155">
        <v>0.51</v>
      </c>
      <c r="L201" s="5" t="s">
        <v>395</v>
      </c>
      <c r="M201" s="35" t="s">
        <v>55</v>
      </c>
      <c r="N201" s="35">
        <v>0.25</v>
      </c>
      <c r="O201" s="35">
        <v>2.7</v>
      </c>
      <c r="P201" s="35">
        <v>2.2999999999999998</v>
      </c>
      <c r="Q201" s="35">
        <v>9.9</v>
      </c>
      <c r="R201" s="35">
        <v>7.2</v>
      </c>
      <c r="S201" s="35">
        <v>3</v>
      </c>
      <c r="T201" s="5">
        <f t="shared" si="29"/>
        <v>25.35</v>
      </c>
      <c r="U201" s="5">
        <f t="shared" si="30"/>
        <v>225.98039215686276</v>
      </c>
      <c r="V201" s="35" t="s">
        <v>58</v>
      </c>
      <c r="W201" s="35">
        <v>0.24</v>
      </c>
      <c r="X201" s="35">
        <v>8.8999999999999996E-2</v>
      </c>
      <c r="Y201" s="35">
        <v>0.12</v>
      </c>
      <c r="Z201" s="5" t="s">
        <v>395</v>
      </c>
      <c r="AA201" s="35">
        <v>3.6999999999999998E-2</v>
      </c>
      <c r="AB201" s="35">
        <v>1.4E-2</v>
      </c>
      <c r="AC201" s="24" t="s">
        <v>395</v>
      </c>
      <c r="AD201" s="5" t="s">
        <v>395</v>
      </c>
      <c r="AE201" s="5">
        <f t="shared" si="26"/>
        <v>0.49999999999999994</v>
      </c>
      <c r="AF201" s="35" t="s">
        <v>46</v>
      </c>
      <c r="AG201" s="250" t="s">
        <v>395</v>
      </c>
      <c r="AH201" s="25">
        <f t="shared" si="24"/>
        <v>32.393617021276597</v>
      </c>
      <c r="AI201" s="5" t="s">
        <v>395</v>
      </c>
      <c r="AJ201" s="5" t="s">
        <v>395</v>
      </c>
      <c r="AK201" s="5" t="s">
        <v>395</v>
      </c>
      <c r="AL201" s="5" t="s">
        <v>395</v>
      </c>
      <c r="AM201" s="5" t="s">
        <v>395</v>
      </c>
      <c r="AN201" s="5" t="s">
        <v>395</v>
      </c>
      <c r="AO201" s="5" t="s">
        <v>395</v>
      </c>
      <c r="AP201" s="5" t="s">
        <v>395</v>
      </c>
      <c r="AQ201" s="5" t="s">
        <v>395</v>
      </c>
      <c r="AR201" s="5" t="s">
        <v>395</v>
      </c>
      <c r="AS201" s="5" t="s">
        <v>395</v>
      </c>
      <c r="AT201" s="5" t="s">
        <v>395</v>
      </c>
      <c r="AU201" s="5" t="s">
        <v>395</v>
      </c>
      <c r="AV201" s="5" t="s">
        <v>395</v>
      </c>
      <c r="AW201" s="5" t="s">
        <v>395</v>
      </c>
      <c r="AX201" s="5" t="s">
        <v>395</v>
      </c>
      <c r="AY201" s="5" t="s">
        <v>395</v>
      </c>
      <c r="AZ201" s="5" t="s">
        <v>395</v>
      </c>
      <c r="BA201" s="5" t="s">
        <v>395</v>
      </c>
      <c r="BB201" s="5" t="s">
        <v>395</v>
      </c>
      <c r="BC201" s="94">
        <v>609</v>
      </c>
      <c r="BD201" s="5" t="s">
        <v>395</v>
      </c>
      <c r="BE201" s="5" t="s">
        <v>395</v>
      </c>
      <c r="BF201" s="5" t="s">
        <v>395</v>
      </c>
      <c r="BG201" s="5" t="s">
        <v>395</v>
      </c>
      <c r="BH201" s="5" t="s">
        <v>395</v>
      </c>
      <c r="BI201" s="5" t="s">
        <v>395</v>
      </c>
      <c r="BJ201" s="5" t="s">
        <v>395</v>
      </c>
      <c r="BK201" s="5" t="s">
        <v>395</v>
      </c>
      <c r="BL201" s="5" t="s">
        <v>395</v>
      </c>
      <c r="BM201" s="5" t="s">
        <v>395</v>
      </c>
      <c r="BN201" s="5" t="s">
        <v>395</v>
      </c>
      <c r="BO201" s="5" t="s">
        <v>395</v>
      </c>
      <c r="BP201" s="5" t="s">
        <v>395</v>
      </c>
      <c r="BQ201" s="5" t="s">
        <v>395</v>
      </c>
      <c r="BR201" s="5" t="s">
        <v>395</v>
      </c>
      <c r="BS201" s="5" t="s">
        <v>395</v>
      </c>
      <c r="BT201" s="5" t="s">
        <v>395</v>
      </c>
      <c r="BU201" s="5" t="s">
        <v>395</v>
      </c>
      <c r="BV201" s="5" t="s">
        <v>395</v>
      </c>
      <c r="BW201" s="5" t="s">
        <v>395</v>
      </c>
      <c r="BX201" s="5" t="s">
        <v>395</v>
      </c>
      <c r="BY201" s="5" t="s">
        <v>395</v>
      </c>
      <c r="BZ201" s="5" t="s">
        <v>395</v>
      </c>
      <c r="CA201" s="5" t="s">
        <v>395</v>
      </c>
      <c r="CB201" s="5" t="s">
        <v>395</v>
      </c>
      <c r="CC201" s="5" t="s">
        <v>395</v>
      </c>
      <c r="CD201" s="5" t="s">
        <v>395</v>
      </c>
      <c r="CE201" s="5" t="s">
        <v>395</v>
      </c>
      <c r="CF201" s="5" t="s">
        <v>395</v>
      </c>
      <c r="CG201" s="5" t="s">
        <v>395</v>
      </c>
      <c r="CH201" s="5" t="s">
        <v>395</v>
      </c>
      <c r="CI201" s="5" t="s">
        <v>395</v>
      </c>
      <c r="CJ201" s="5" t="s">
        <v>395</v>
      </c>
      <c r="CK201" s="5" t="s">
        <v>395</v>
      </c>
      <c r="CL201" s="5" t="s">
        <v>395</v>
      </c>
      <c r="CM201" s="5" t="s">
        <v>395</v>
      </c>
      <c r="CN201" s="5" t="s">
        <v>395</v>
      </c>
      <c r="CO201" s="5" t="s">
        <v>395</v>
      </c>
      <c r="CP201" s="5" t="s">
        <v>395</v>
      </c>
      <c r="CQ201" s="5" t="s">
        <v>395</v>
      </c>
      <c r="CR201" s="5" t="s">
        <v>395</v>
      </c>
      <c r="CS201" s="5" t="s">
        <v>395</v>
      </c>
      <c r="CT201" s="5" t="s">
        <v>395</v>
      </c>
      <c r="CU201" s="5" t="s">
        <v>395</v>
      </c>
      <c r="CV201" s="5" t="s">
        <v>395</v>
      </c>
      <c r="CW201" s="5" t="s">
        <v>395</v>
      </c>
      <c r="CX201" s="5" t="s">
        <v>395</v>
      </c>
      <c r="CY201" s="252" t="s">
        <v>395</v>
      </c>
    </row>
    <row r="202" spans="1:103" x14ac:dyDescent="0.3">
      <c r="A202" s="98" t="s">
        <v>21</v>
      </c>
      <c r="B202" s="98" t="s">
        <v>21</v>
      </c>
      <c r="C202" s="132" t="s">
        <v>20</v>
      </c>
      <c r="D202" s="132" t="s">
        <v>125</v>
      </c>
      <c r="E202" s="98"/>
      <c r="F202" s="98"/>
      <c r="G202" s="245">
        <v>40433</v>
      </c>
      <c r="H202" s="1">
        <v>2010</v>
      </c>
      <c r="I202" s="75" t="s">
        <v>3</v>
      </c>
      <c r="J202" s="75" t="s">
        <v>114</v>
      </c>
      <c r="K202" s="155">
        <v>0.41</v>
      </c>
      <c r="L202" s="5" t="s">
        <v>395</v>
      </c>
      <c r="M202" s="35">
        <v>0.14000000000000001</v>
      </c>
      <c r="N202" s="35">
        <v>0.3</v>
      </c>
      <c r="O202" s="35">
        <v>2.1</v>
      </c>
      <c r="P202" s="35">
        <v>1.3</v>
      </c>
      <c r="Q202" s="35">
        <v>5</v>
      </c>
      <c r="R202" s="35">
        <v>4</v>
      </c>
      <c r="S202" s="35">
        <v>1.8</v>
      </c>
      <c r="T202" s="5">
        <f t="shared" si="29"/>
        <v>14.64</v>
      </c>
      <c r="U202" s="5">
        <f t="shared" si="30"/>
        <v>162.6829268292683</v>
      </c>
      <c r="V202" s="35" t="s">
        <v>59</v>
      </c>
      <c r="W202" s="35">
        <v>0.24</v>
      </c>
      <c r="X202" s="35">
        <v>0.1</v>
      </c>
      <c r="Y202" s="35">
        <v>0.12</v>
      </c>
      <c r="Z202" s="5" t="s">
        <v>395</v>
      </c>
      <c r="AA202" s="35">
        <v>3.1E-2</v>
      </c>
      <c r="AB202" s="35">
        <v>1.6E-2</v>
      </c>
      <c r="AC202" s="24" t="s">
        <v>395</v>
      </c>
      <c r="AD202" s="5" t="s">
        <v>395</v>
      </c>
      <c r="AE202" s="5">
        <f t="shared" si="26"/>
        <v>0.50700000000000001</v>
      </c>
      <c r="AF202" s="35" t="s">
        <v>46</v>
      </c>
      <c r="AG202" s="250" t="s">
        <v>395</v>
      </c>
      <c r="AH202" s="25">
        <f t="shared" si="24"/>
        <v>20.319148936170212</v>
      </c>
      <c r="AI202" s="5" t="s">
        <v>395</v>
      </c>
      <c r="AJ202" s="5" t="s">
        <v>395</v>
      </c>
      <c r="AK202" s="5" t="s">
        <v>395</v>
      </c>
      <c r="AL202" s="5" t="s">
        <v>395</v>
      </c>
      <c r="AM202" s="5" t="s">
        <v>395</v>
      </c>
      <c r="AN202" s="5" t="s">
        <v>395</v>
      </c>
      <c r="AO202" s="5" t="s">
        <v>395</v>
      </c>
      <c r="AP202" s="5" t="s">
        <v>395</v>
      </c>
      <c r="AQ202" s="5" t="s">
        <v>395</v>
      </c>
      <c r="AR202" s="5" t="s">
        <v>395</v>
      </c>
      <c r="AS202" s="5" t="s">
        <v>395</v>
      </c>
      <c r="AT202" s="5" t="s">
        <v>395</v>
      </c>
      <c r="AU202" s="5" t="s">
        <v>395</v>
      </c>
      <c r="AV202" s="5" t="s">
        <v>395</v>
      </c>
      <c r="AW202" s="5" t="s">
        <v>395</v>
      </c>
      <c r="AX202" s="5" t="s">
        <v>395</v>
      </c>
      <c r="AY202" s="5" t="s">
        <v>395</v>
      </c>
      <c r="AZ202" s="5" t="s">
        <v>395</v>
      </c>
      <c r="BA202" s="5" t="s">
        <v>395</v>
      </c>
      <c r="BB202" s="5" t="s">
        <v>395</v>
      </c>
      <c r="BC202" s="94">
        <v>382</v>
      </c>
      <c r="BD202" s="5" t="s">
        <v>395</v>
      </c>
      <c r="BE202" s="5" t="s">
        <v>395</v>
      </c>
      <c r="BF202" s="5" t="s">
        <v>395</v>
      </c>
      <c r="BG202" s="5" t="s">
        <v>395</v>
      </c>
      <c r="BH202" s="5" t="s">
        <v>395</v>
      </c>
      <c r="BI202" s="5" t="s">
        <v>395</v>
      </c>
      <c r="BJ202" s="5" t="s">
        <v>395</v>
      </c>
      <c r="BK202" s="5" t="s">
        <v>395</v>
      </c>
      <c r="BL202" s="5" t="s">
        <v>395</v>
      </c>
      <c r="BM202" s="5" t="s">
        <v>395</v>
      </c>
      <c r="BN202" s="5" t="s">
        <v>395</v>
      </c>
      <c r="BO202" s="5" t="s">
        <v>395</v>
      </c>
      <c r="BP202" s="5" t="s">
        <v>395</v>
      </c>
      <c r="BQ202" s="5" t="s">
        <v>395</v>
      </c>
      <c r="BR202" s="5" t="s">
        <v>395</v>
      </c>
      <c r="BS202" s="5" t="s">
        <v>395</v>
      </c>
      <c r="BT202" s="5" t="s">
        <v>395</v>
      </c>
      <c r="BU202" s="5" t="s">
        <v>395</v>
      </c>
      <c r="BV202" s="5" t="s">
        <v>395</v>
      </c>
      <c r="BW202" s="5" t="s">
        <v>395</v>
      </c>
      <c r="BX202" s="5" t="s">
        <v>395</v>
      </c>
      <c r="BY202" s="5" t="s">
        <v>395</v>
      </c>
      <c r="BZ202" s="5" t="s">
        <v>395</v>
      </c>
      <c r="CA202" s="5" t="s">
        <v>395</v>
      </c>
      <c r="CB202" s="5" t="s">
        <v>395</v>
      </c>
      <c r="CC202" s="5" t="s">
        <v>395</v>
      </c>
      <c r="CD202" s="5" t="s">
        <v>395</v>
      </c>
      <c r="CE202" s="5" t="s">
        <v>395</v>
      </c>
      <c r="CF202" s="5" t="s">
        <v>395</v>
      </c>
      <c r="CG202" s="5" t="s">
        <v>395</v>
      </c>
      <c r="CH202" s="5" t="s">
        <v>395</v>
      </c>
      <c r="CI202" s="5" t="s">
        <v>395</v>
      </c>
      <c r="CJ202" s="5" t="s">
        <v>395</v>
      </c>
      <c r="CK202" s="5" t="s">
        <v>395</v>
      </c>
      <c r="CL202" s="5" t="s">
        <v>395</v>
      </c>
      <c r="CM202" s="5" t="s">
        <v>395</v>
      </c>
      <c r="CN202" s="5" t="s">
        <v>395</v>
      </c>
      <c r="CO202" s="5" t="s">
        <v>395</v>
      </c>
      <c r="CP202" s="5" t="s">
        <v>395</v>
      </c>
      <c r="CQ202" s="5" t="s">
        <v>395</v>
      </c>
      <c r="CR202" s="5" t="s">
        <v>395</v>
      </c>
      <c r="CS202" s="5" t="s">
        <v>395</v>
      </c>
      <c r="CT202" s="5" t="s">
        <v>395</v>
      </c>
      <c r="CU202" s="5" t="s">
        <v>395</v>
      </c>
      <c r="CV202" s="5" t="s">
        <v>395</v>
      </c>
      <c r="CW202" s="5" t="s">
        <v>395</v>
      </c>
      <c r="CX202" s="5" t="s">
        <v>395</v>
      </c>
      <c r="CY202" s="252" t="s">
        <v>395</v>
      </c>
    </row>
    <row r="203" spans="1:103" x14ac:dyDescent="0.3">
      <c r="A203" s="98" t="s">
        <v>21</v>
      </c>
      <c r="B203" s="98" t="s">
        <v>21</v>
      </c>
      <c r="C203" s="132" t="s">
        <v>20</v>
      </c>
      <c r="D203" s="132" t="s">
        <v>125</v>
      </c>
      <c r="E203" s="98"/>
      <c r="F203" s="98"/>
      <c r="G203" s="245">
        <v>40433</v>
      </c>
      <c r="H203" s="1">
        <v>2010</v>
      </c>
      <c r="I203" s="75" t="s">
        <v>3</v>
      </c>
      <c r="J203" s="75" t="s">
        <v>114</v>
      </c>
      <c r="K203" s="155">
        <v>0.3</v>
      </c>
      <c r="L203" s="5" t="s">
        <v>395</v>
      </c>
      <c r="M203" s="35">
        <v>0.2</v>
      </c>
      <c r="N203" s="35">
        <v>0.33</v>
      </c>
      <c r="O203" s="35">
        <v>2.9</v>
      </c>
      <c r="P203" s="35">
        <v>2.7</v>
      </c>
      <c r="Q203" s="35">
        <v>12</v>
      </c>
      <c r="R203" s="35">
        <v>7.3</v>
      </c>
      <c r="S203" s="35">
        <v>3.5</v>
      </c>
      <c r="T203" s="5">
        <f t="shared" si="29"/>
        <v>28.93</v>
      </c>
      <c r="U203" s="5">
        <f t="shared" si="30"/>
        <v>437.16666666666669</v>
      </c>
      <c r="V203" s="35" t="s">
        <v>61</v>
      </c>
      <c r="W203" s="35">
        <v>0.19</v>
      </c>
      <c r="X203" s="35">
        <v>6.9000000000000006E-2</v>
      </c>
      <c r="Y203" s="35">
        <v>0.14000000000000001</v>
      </c>
      <c r="Z203" s="5" t="s">
        <v>395</v>
      </c>
      <c r="AA203" s="35">
        <v>2.4E-2</v>
      </c>
      <c r="AB203" s="35">
        <v>1.4999999999999999E-2</v>
      </c>
      <c r="AC203" s="24" t="s">
        <v>395</v>
      </c>
      <c r="AD203" s="5" t="s">
        <v>395</v>
      </c>
      <c r="AE203" s="5">
        <f t="shared" si="26"/>
        <v>0.43800000000000006</v>
      </c>
      <c r="AF203" s="35" t="s">
        <v>46</v>
      </c>
      <c r="AG203" s="250" t="s">
        <v>395</v>
      </c>
      <c r="AH203" s="25">
        <f t="shared" si="24"/>
        <v>23.723404255319149</v>
      </c>
      <c r="AI203" s="5" t="s">
        <v>395</v>
      </c>
      <c r="AJ203" s="5" t="s">
        <v>395</v>
      </c>
      <c r="AK203" s="5" t="s">
        <v>395</v>
      </c>
      <c r="AL203" s="5" t="s">
        <v>395</v>
      </c>
      <c r="AM203" s="5" t="s">
        <v>395</v>
      </c>
      <c r="AN203" s="5" t="s">
        <v>395</v>
      </c>
      <c r="AO203" s="5" t="s">
        <v>395</v>
      </c>
      <c r="AP203" s="5" t="s">
        <v>395</v>
      </c>
      <c r="AQ203" s="5" t="s">
        <v>395</v>
      </c>
      <c r="AR203" s="5" t="s">
        <v>395</v>
      </c>
      <c r="AS203" s="5" t="s">
        <v>395</v>
      </c>
      <c r="AT203" s="5" t="s">
        <v>395</v>
      </c>
      <c r="AU203" s="5" t="s">
        <v>395</v>
      </c>
      <c r="AV203" s="5" t="s">
        <v>395</v>
      </c>
      <c r="AW203" s="5" t="s">
        <v>395</v>
      </c>
      <c r="AX203" s="5" t="s">
        <v>395</v>
      </c>
      <c r="AY203" s="5" t="s">
        <v>395</v>
      </c>
      <c r="AZ203" s="5" t="s">
        <v>395</v>
      </c>
      <c r="BA203" s="5" t="s">
        <v>395</v>
      </c>
      <c r="BB203" s="5" t="s">
        <v>395</v>
      </c>
      <c r="BC203" s="94">
        <v>446</v>
      </c>
      <c r="BD203" s="5" t="s">
        <v>395</v>
      </c>
      <c r="BE203" s="5" t="s">
        <v>395</v>
      </c>
      <c r="BF203" s="5" t="s">
        <v>395</v>
      </c>
      <c r="BG203" s="5" t="s">
        <v>395</v>
      </c>
      <c r="BH203" s="5" t="s">
        <v>395</v>
      </c>
      <c r="BI203" s="5" t="s">
        <v>395</v>
      </c>
      <c r="BJ203" s="5" t="s">
        <v>395</v>
      </c>
      <c r="BK203" s="5" t="s">
        <v>395</v>
      </c>
      <c r="BL203" s="5" t="s">
        <v>395</v>
      </c>
      <c r="BM203" s="5" t="s">
        <v>395</v>
      </c>
      <c r="BN203" s="5" t="s">
        <v>395</v>
      </c>
      <c r="BO203" s="5" t="s">
        <v>395</v>
      </c>
      <c r="BP203" s="5" t="s">
        <v>395</v>
      </c>
      <c r="BQ203" s="5" t="s">
        <v>395</v>
      </c>
      <c r="BR203" s="5" t="s">
        <v>395</v>
      </c>
      <c r="BS203" s="5" t="s">
        <v>395</v>
      </c>
      <c r="BT203" s="5" t="s">
        <v>395</v>
      </c>
      <c r="BU203" s="5" t="s">
        <v>395</v>
      </c>
      <c r="BV203" s="5" t="s">
        <v>395</v>
      </c>
      <c r="BW203" s="5" t="s">
        <v>395</v>
      </c>
      <c r="BX203" s="5" t="s">
        <v>395</v>
      </c>
      <c r="BY203" s="5" t="s">
        <v>395</v>
      </c>
      <c r="BZ203" s="5" t="s">
        <v>395</v>
      </c>
      <c r="CA203" s="5" t="s">
        <v>395</v>
      </c>
      <c r="CB203" s="5" t="s">
        <v>395</v>
      </c>
      <c r="CC203" s="5" t="s">
        <v>395</v>
      </c>
      <c r="CD203" s="5" t="s">
        <v>395</v>
      </c>
      <c r="CE203" s="5" t="s">
        <v>395</v>
      </c>
      <c r="CF203" s="5" t="s">
        <v>395</v>
      </c>
      <c r="CG203" s="5" t="s">
        <v>395</v>
      </c>
      <c r="CH203" s="5" t="s">
        <v>395</v>
      </c>
      <c r="CI203" s="5" t="s">
        <v>395</v>
      </c>
      <c r="CJ203" s="5" t="s">
        <v>395</v>
      </c>
      <c r="CK203" s="5" t="s">
        <v>395</v>
      </c>
      <c r="CL203" s="5" t="s">
        <v>395</v>
      </c>
      <c r="CM203" s="5" t="s">
        <v>395</v>
      </c>
      <c r="CN203" s="5" t="s">
        <v>395</v>
      </c>
      <c r="CO203" s="5" t="s">
        <v>395</v>
      </c>
      <c r="CP203" s="5" t="s">
        <v>395</v>
      </c>
      <c r="CQ203" s="5" t="s">
        <v>395</v>
      </c>
      <c r="CR203" s="5" t="s">
        <v>395</v>
      </c>
      <c r="CS203" s="5" t="s">
        <v>395</v>
      </c>
      <c r="CT203" s="5" t="s">
        <v>395</v>
      </c>
      <c r="CU203" s="5" t="s">
        <v>395</v>
      </c>
      <c r="CV203" s="5" t="s">
        <v>395</v>
      </c>
      <c r="CW203" s="5" t="s">
        <v>395</v>
      </c>
      <c r="CX203" s="5" t="s">
        <v>395</v>
      </c>
      <c r="CY203" s="252" t="s">
        <v>395</v>
      </c>
    </row>
    <row r="204" spans="1:103" x14ac:dyDescent="0.3">
      <c r="A204" s="98" t="s">
        <v>21</v>
      </c>
      <c r="B204" s="98" t="s">
        <v>21</v>
      </c>
      <c r="C204" s="132" t="s">
        <v>20</v>
      </c>
      <c r="D204" s="132" t="s">
        <v>125</v>
      </c>
      <c r="E204" s="98"/>
      <c r="F204" s="98"/>
      <c r="G204" s="245">
        <v>40433</v>
      </c>
      <c r="H204" s="1">
        <v>2010</v>
      </c>
      <c r="I204" s="75" t="s">
        <v>3</v>
      </c>
      <c r="J204" s="75" t="s">
        <v>114</v>
      </c>
      <c r="K204" s="155">
        <v>0.34</v>
      </c>
      <c r="L204" s="5" t="s">
        <v>395</v>
      </c>
      <c r="M204" s="35">
        <v>0.16</v>
      </c>
      <c r="N204" s="35">
        <v>0.35</v>
      </c>
      <c r="O204" s="35">
        <v>1.7</v>
      </c>
      <c r="P204" s="35">
        <v>1.5</v>
      </c>
      <c r="Q204" s="35">
        <v>6.9</v>
      </c>
      <c r="R204" s="35">
        <v>4</v>
      </c>
      <c r="S204" s="35">
        <v>2.2000000000000002</v>
      </c>
      <c r="T204" s="5">
        <f t="shared" si="29"/>
        <v>16.809999999999999</v>
      </c>
      <c r="U204" s="5">
        <f t="shared" si="30"/>
        <v>225.14705882352939</v>
      </c>
      <c r="V204" s="35" t="s">
        <v>60</v>
      </c>
      <c r="W204" s="35">
        <v>0.23</v>
      </c>
      <c r="X204" s="35">
        <v>7.3999999999999996E-2</v>
      </c>
      <c r="Y204" s="35">
        <v>0.12</v>
      </c>
      <c r="Z204" s="5" t="s">
        <v>395</v>
      </c>
      <c r="AA204" s="35">
        <v>2.7E-2</v>
      </c>
      <c r="AB204" s="35">
        <v>1.4E-2</v>
      </c>
      <c r="AC204" s="24" t="s">
        <v>395</v>
      </c>
      <c r="AD204" s="5" t="s">
        <v>395</v>
      </c>
      <c r="AE204" s="5">
        <f t="shared" si="26"/>
        <v>0.46500000000000002</v>
      </c>
      <c r="AF204" s="35" t="s">
        <v>46</v>
      </c>
      <c r="AG204" s="250" t="s">
        <v>395</v>
      </c>
      <c r="AH204" s="25">
        <f t="shared" si="24"/>
        <v>20.212765957446809</v>
      </c>
      <c r="AI204" s="5" t="s">
        <v>395</v>
      </c>
      <c r="AJ204" s="5" t="s">
        <v>395</v>
      </c>
      <c r="AK204" s="5" t="s">
        <v>395</v>
      </c>
      <c r="AL204" s="5" t="s">
        <v>395</v>
      </c>
      <c r="AM204" s="5" t="s">
        <v>395</v>
      </c>
      <c r="AN204" s="5" t="s">
        <v>395</v>
      </c>
      <c r="AO204" s="5" t="s">
        <v>395</v>
      </c>
      <c r="AP204" s="5" t="s">
        <v>395</v>
      </c>
      <c r="AQ204" s="5" t="s">
        <v>395</v>
      </c>
      <c r="AR204" s="5" t="s">
        <v>395</v>
      </c>
      <c r="AS204" s="5" t="s">
        <v>395</v>
      </c>
      <c r="AT204" s="5" t="s">
        <v>395</v>
      </c>
      <c r="AU204" s="5" t="s">
        <v>395</v>
      </c>
      <c r="AV204" s="5" t="s">
        <v>395</v>
      </c>
      <c r="AW204" s="5" t="s">
        <v>395</v>
      </c>
      <c r="AX204" s="5" t="s">
        <v>395</v>
      </c>
      <c r="AY204" s="5" t="s">
        <v>395</v>
      </c>
      <c r="AZ204" s="5" t="s">
        <v>395</v>
      </c>
      <c r="BA204" s="5" t="s">
        <v>395</v>
      </c>
      <c r="BB204" s="5" t="s">
        <v>395</v>
      </c>
      <c r="BC204" s="94">
        <v>380</v>
      </c>
      <c r="BD204" s="5" t="s">
        <v>395</v>
      </c>
      <c r="BE204" s="5" t="s">
        <v>395</v>
      </c>
      <c r="BF204" s="5" t="s">
        <v>395</v>
      </c>
      <c r="BG204" s="5" t="s">
        <v>395</v>
      </c>
      <c r="BH204" s="5" t="s">
        <v>395</v>
      </c>
      <c r="BI204" s="5" t="s">
        <v>395</v>
      </c>
      <c r="BJ204" s="5" t="s">
        <v>395</v>
      </c>
      <c r="BK204" s="5" t="s">
        <v>395</v>
      </c>
      <c r="BL204" s="5" t="s">
        <v>395</v>
      </c>
      <c r="BM204" s="5" t="s">
        <v>395</v>
      </c>
      <c r="BN204" s="5" t="s">
        <v>395</v>
      </c>
      <c r="BO204" s="5" t="s">
        <v>395</v>
      </c>
      <c r="BP204" s="5" t="s">
        <v>395</v>
      </c>
      <c r="BQ204" s="5" t="s">
        <v>395</v>
      </c>
      <c r="BR204" s="5" t="s">
        <v>395</v>
      </c>
      <c r="BS204" s="5" t="s">
        <v>395</v>
      </c>
      <c r="BT204" s="5" t="s">
        <v>395</v>
      </c>
      <c r="BU204" s="5" t="s">
        <v>395</v>
      </c>
      <c r="BV204" s="5" t="s">
        <v>395</v>
      </c>
      <c r="BW204" s="5" t="s">
        <v>395</v>
      </c>
      <c r="BX204" s="5" t="s">
        <v>395</v>
      </c>
      <c r="BY204" s="5" t="s">
        <v>395</v>
      </c>
      <c r="BZ204" s="5" t="s">
        <v>395</v>
      </c>
      <c r="CA204" s="5" t="s">
        <v>395</v>
      </c>
      <c r="CB204" s="5" t="s">
        <v>395</v>
      </c>
      <c r="CC204" s="5" t="s">
        <v>395</v>
      </c>
      <c r="CD204" s="5" t="s">
        <v>395</v>
      </c>
      <c r="CE204" s="5" t="s">
        <v>395</v>
      </c>
      <c r="CF204" s="5" t="s">
        <v>395</v>
      </c>
      <c r="CG204" s="5" t="s">
        <v>395</v>
      </c>
      <c r="CH204" s="5" t="s">
        <v>395</v>
      </c>
      <c r="CI204" s="5" t="s">
        <v>395</v>
      </c>
      <c r="CJ204" s="5" t="s">
        <v>395</v>
      </c>
      <c r="CK204" s="5" t="s">
        <v>395</v>
      </c>
      <c r="CL204" s="5" t="s">
        <v>395</v>
      </c>
      <c r="CM204" s="5" t="s">
        <v>395</v>
      </c>
      <c r="CN204" s="5" t="s">
        <v>395</v>
      </c>
      <c r="CO204" s="5" t="s">
        <v>395</v>
      </c>
      <c r="CP204" s="5" t="s">
        <v>395</v>
      </c>
      <c r="CQ204" s="5" t="s">
        <v>395</v>
      </c>
      <c r="CR204" s="5" t="s">
        <v>395</v>
      </c>
      <c r="CS204" s="5" t="s">
        <v>395</v>
      </c>
      <c r="CT204" s="5" t="s">
        <v>395</v>
      </c>
      <c r="CU204" s="5" t="s">
        <v>395</v>
      </c>
      <c r="CV204" s="5" t="s">
        <v>395</v>
      </c>
      <c r="CW204" s="5" t="s">
        <v>395</v>
      </c>
      <c r="CX204" s="5" t="s">
        <v>395</v>
      </c>
      <c r="CY204" s="252" t="s">
        <v>395</v>
      </c>
    </row>
    <row r="205" spans="1:103" x14ac:dyDescent="0.3">
      <c r="A205" s="98" t="s">
        <v>112</v>
      </c>
      <c r="B205" s="98" t="s">
        <v>24</v>
      </c>
      <c r="C205" s="132" t="s">
        <v>20</v>
      </c>
      <c r="D205" s="132" t="s">
        <v>125</v>
      </c>
      <c r="E205" s="98"/>
      <c r="F205" s="98"/>
      <c r="G205" s="245">
        <v>40418</v>
      </c>
      <c r="H205" s="1">
        <v>2010</v>
      </c>
      <c r="I205" s="75" t="s">
        <v>3</v>
      </c>
      <c r="J205" s="75" t="s">
        <v>114</v>
      </c>
      <c r="K205" s="155">
        <v>0.45</v>
      </c>
      <c r="L205" s="5" t="s">
        <v>395</v>
      </c>
      <c r="M205" s="35">
        <v>4.5999999999999996</v>
      </c>
      <c r="N205" s="35">
        <v>8.9</v>
      </c>
      <c r="O205" s="35">
        <v>18</v>
      </c>
      <c r="P205" s="35">
        <v>20</v>
      </c>
      <c r="Q205" s="35">
        <v>32</v>
      </c>
      <c r="R205" s="35">
        <v>20</v>
      </c>
      <c r="S205" s="35">
        <v>9.4</v>
      </c>
      <c r="T205" s="5">
        <f t="shared" si="29"/>
        <v>112.9</v>
      </c>
      <c r="U205" s="5">
        <f t="shared" si="30"/>
        <v>1032.2222222222222</v>
      </c>
      <c r="V205" s="35" t="s">
        <v>61</v>
      </c>
      <c r="W205" s="35">
        <v>0.77</v>
      </c>
      <c r="X205" s="35">
        <v>0.2</v>
      </c>
      <c r="Y205" s="35">
        <v>0.11</v>
      </c>
      <c r="Z205" s="5" t="s">
        <v>395</v>
      </c>
      <c r="AA205" s="35">
        <v>4.4999999999999998E-2</v>
      </c>
      <c r="AB205" s="35">
        <v>2.1000000000000001E-2</v>
      </c>
      <c r="AC205" s="24" t="s">
        <v>395</v>
      </c>
      <c r="AD205" s="5" t="s">
        <v>395</v>
      </c>
      <c r="AE205" s="5">
        <f t="shared" si="26"/>
        <v>1.1459999999999999</v>
      </c>
      <c r="AF205" s="5" t="s">
        <v>46</v>
      </c>
      <c r="AG205" s="250" t="s">
        <v>395</v>
      </c>
      <c r="AH205" s="25">
        <f t="shared" si="24"/>
        <v>39.734042553191486</v>
      </c>
      <c r="AI205" s="5" t="s">
        <v>395</v>
      </c>
      <c r="AJ205" s="5" t="s">
        <v>395</v>
      </c>
      <c r="AK205" s="5" t="s">
        <v>395</v>
      </c>
      <c r="AL205" s="5" t="s">
        <v>395</v>
      </c>
      <c r="AM205" s="5" t="s">
        <v>395</v>
      </c>
      <c r="AN205" s="5" t="s">
        <v>395</v>
      </c>
      <c r="AO205" s="5" t="s">
        <v>395</v>
      </c>
      <c r="AP205" s="5" t="s">
        <v>395</v>
      </c>
      <c r="AQ205" s="5" t="s">
        <v>395</v>
      </c>
      <c r="AR205" s="5" t="s">
        <v>395</v>
      </c>
      <c r="AS205" s="5" t="s">
        <v>395</v>
      </c>
      <c r="AT205" s="5" t="s">
        <v>395</v>
      </c>
      <c r="AU205" s="5" t="s">
        <v>395</v>
      </c>
      <c r="AV205" s="5" t="s">
        <v>395</v>
      </c>
      <c r="AW205" s="5" t="s">
        <v>395</v>
      </c>
      <c r="AX205" s="5" t="s">
        <v>395</v>
      </c>
      <c r="AY205" s="5" t="s">
        <v>395</v>
      </c>
      <c r="AZ205" s="5" t="s">
        <v>395</v>
      </c>
      <c r="BA205" s="5" t="s">
        <v>395</v>
      </c>
      <c r="BB205" s="5" t="s">
        <v>395</v>
      </c>
      <c r="BC205" s="94">
        <v>747</v>
      </c>
      <c r="BD205" s="5" t="s">
        <v>395</v>
      </c>
      <c r="BE205" s="5" t="s">
        <v>395</v>
      </c>
      <c r="BF205" s="5" t="s">
        <v>395</v>
      </c>
      <c r="BG205" s="5" t="s">
        <v>395</v>
      </c>
      <c r="BH205" s="5" t="s">
        <v>395</v>
      </c>
      <c r="BI205" s="5" t="s">
        <v>395</v>
      </c>
      <c r="BJ205" s="5" t="s">
        <v>395</v>
      </c>
      <c r="BK205" s="5" t="s">
        <v>395</v>
      </c>
      <c r="BL205" s="5" t="s">
        <v>395</v>
      </c>
      <c r="BM205" s="5" t="s">
        <v>395</v>
      </c>
      <c r="BN205" s="5" t="s">
        <v>395</v>
      </c>
      <c r="BO205" s="5" t="s">
        <v>395</v>
      </c>
      <c r="BP205" s="5" t="s">
        <v>395</v>
      </c>
      <c r="BQ205" s="5" t="s">
        <v>395</v>
      </c>
      <c r="BR205" s="5" t="s">
        <v>395</v>
      </c>
      <c r="BS205" s="5" t="s">
        <v>395</v>
      </c>
      <c r="BT205" s="5" t="s">
        <v>395</v>
      </c>
      <c r="BU205" s="5" t="s">
        <v>395</v>
      </c>
      <c r="BV205" s="5" t="s">
        <v>395</v>
      </c>
      <c r="BW205" s="5" t="s">
        <v>395</v>
      </c>
      <c r="BX205" s="5" t="s">
        <v>395</v>
      </c>
      <c r="BY205" s="5" t="s">
        <v>395</v>
      </c>
      <c r="BZ205" s="5" t="s">
        <v>395</v>
      </c>
      <c r="CA205" s="5" t="s">
        <v>395</v>
      </c>
      <c r="CB205" s="5" t="s">
        <v>395</v>
      </c>
      <c r="CC205" s="5" t="s">
        <v>395</v>
      </c>
      <c r="CD205" s="5" t="s">
        <v>395</v>
      </c>
      <c r="CE205" s="5" t="s">
        <v>395</v>
      </c>
      <c r="CF205" s="5" t="s">
        <v>395</v>
      </c>
      <c r="CG205" s="5" t="s">
        <v>395</v>
      </c>
      <c r="CH205" s="5" t="s">
        <v>395</v>
      </c>
      <c r="CI205" s="5" t="s">
        <v>395</v>
      </c>
      <c r="CJ205" s="5" t="s">
        <v>395</v>
      </c>
      <c r="CK205" s="5" t="s">
        <v>395</v>
      </c>
      <c r="CL205" s="5" t="s">
        <v>395</v>
      </c>
      <c r="CM205" s="5" t="s">
        <v>395</v>
      </c>
      <c r="CN205" s="5" t="s">
        <v>395</v>
      </c>
      <c r="CO205" s="5" t="s">
        <v>395</v>
      </c>
      <c r="CP205" s="5" t="s">
        <v>395</v>
      </c>
      <c r="CQ205" s="5" t="s">
        <v>395</v>
      </c>
      <c r="CR205" s="5" t="s">
        <v>395</v>
      </c>
      <c r="CS205" s="5" t="s">
        <v>395</v>
      </c>
      <c r="CT205" s="5" t="s">
        <v>395</v>
      </c>
      <c r="CU205" s="5" t="s">
        <v>395</v>
      </c>
      <c r="CV205" s="5" t="s">
        <v>395</v>
      </c>
      <c r="CW205" s="5" t="s">
        <v>395</v>
      </c>
      <c r="CX205" s="5" t="s">
        <v>395</v>
      </c>
      <c r="CY205" s="252" t="s">
        <v>395</v>
      </c>
    </row>
    <row r="206" spans="1:103" x14ac:dyDescent="0.3">
      <c r="A206" s="98" t="s">
        <v>112</v>
      </c>
      <c r="B206" s="98" t="s">
        <v>24</v>
      </c>
      <c r="C206" s="132" t="s">
        <v>20</v>
      </c>
      <c r="D206" s="132" t="s">
        <v>125</v>
      </c>
      <c r="E206" s="98"/>
      <c r="F206" s="98"/>
      <c r="G206" s="245">
        <v>40418</v>
      </c>
      <c r="H206" s="1">
        <v>2010</v>
      </c>
      <c r="I206" s="75" t="s">
        <v>33</v>
      </c>
      <c r="J206" s="75" t="s">
        <v>114</v>
      </c>
      <c r="K206" s="155">
        <v>0.35</v>
      </c>
      <c r="L206" s="5" t="s">
        <v>395</v>
      </c>
      <c r="M206" s="35">
        <v>0.99</v>
      </c>
      <c r="N206" s="35">
        <v>3.6</v>
      </c>
      <c r="O206" s="35">
        <v>9.5</v>
      </c>
      <c r="P206" s="35">
        <v>8.1</v>
      </c>
      <c r="Q206" s="35">
        <v>16</v>
      </c>
      <c r="R206" s="35">
        <v>10</v>
      </c>
      <c r="S206" s="35">
        <v>5.3</v>
      </c>
      <c r="T206" s="5">
        <f t="shared" si="29"/>
        <v>53.489999999999995</v>
      </c>
      <c r="U206" s="5">
        <f t="shared" si="30"/>
        <v>648.42857142857144</v>
      </c>
      <c r="V206" s="35" t="s">
        <v>59</v>
      </c>
      <c r="W206" s="35">
        <v>0.4</v>
      </c>
      <c r="X206" s="35">
        <v>0.11</v>
      </c>
      <c r="Y206" s="35">
        <v>9.2999999999999999E-2</v>
      </c>
      <c r="Z206" s="5" t="s">
        <v>395</v>
      </c>
      <c r="AA206" s="35">
        <v>2.9000000000000001E-2</v>
      </c>
      <c r="AB206" s="35">
        <v>1.6E-2</v>
      </c>
      <c r="AC206" s="24" t="s">
        <v>395</v>
      </c>
      <c r="AD206" s="5" t="s">
        <v>395</v>
      </c>
      <c r="AE206" s="5">
        <f t="shared" si="26"/>
        <v>0.64800000000000002</v>
      </c>
      <c r="AF206" s="35">
        <v>1.2</v>
      </c>
      <c r="AG206" s="250" t="s">
        <v>395</v>
      </c>
      <c r="AH206" s="25">
        <f t="shared" si="24"/>
        <v>25.904255319148934</v>
      </c>
      <c r="AI206" s="5" t="s">
        <v>395</v>
      </c>
      <c r="AJ206" s="5" t="s">
        <v>395</v>
      </c>
      <c r="AK206" s="5" t="s">
        <v>395</v>
      </c>
      <c r="AL206" s="5" t="s">
        <v>395</v>
      </c>
      <c r="AM206" s="5" t="s">
        <v>395</v>
      </c>
      <c r="AN206" s="5" t="s">
        <v>395</v>
      </c>
      <c r="AO206" s="5" t="s">
        <v>395</v>
      </c>
      <c r="AP206" s="5" t="s">
        <v>395</v>
      </c>
      <c r="AQ206" s="5" t="s">
        <v>395</v>
      </c>
      <c r="AR206" s="5" t="s">
        <v>395</v>
      </c>
      <c r="AS206" s="5" t="s">
        <v>395</v>
      </c>
      <c r="AT206" s="5" t="s">
        <v>395</v>
      </c>
      <c r="AU206" s="5" t="s">
        <v>395</v>
      </c>
      <c r="AV206" s="5" t="s">
        <v>395</v>
      </c>
      <c r="AW206" s="5" t="s">
        <v>395</v>
      </c>
      <c r="AX206" s="5" t="s">
        <v>395</v>
      </c>
      <c r="AY206" s="5" t="s">
        <v>395</v>
      </c>
      <c r="AZ206" s="5" t="s">
        <v>395</v>
      </c>
      <c r="BA206" s="5" t="s">
        <v>395</v>
      </c>
      <c r="BB206" s="5" t="s">
        <v>395</v>
      </c>
      <c r="BC206" s="94">
        <v>487</v>
      </c>
      <c r="BD206" s="5" t="s">
        <v>395</v>
      </c>
      <c r="BE206" s="5" t="s">
        <v>395</v>
      </c>
      <c r="BF206" s="5" t="s">
        <v>395</v>
      </c>
      <c r="BG206" s="5" t="s">
        <v>395</v>
      </c>
      <c r="BH206" s="5" t="s">
        <v>395</v>
      </c>
      <c r="BI206" s="5" t="s">
        <v>395</v>
      </c>
      <c r="BJ206" s="5" t="s">
        <v>395</v>
      </c>
      <c r="BK206" s="5" t="s">
        <v>395</v>
      </c>
      <c r="BL206" s="5" t="s">
        <v>395</v>
      </c>
      <c r="BM206" s="5" t="s">
        <v>395</v>
      </c>
      <c r="BN206" s="5" t="s">
        <v>395</v>
      </c>
      <c r="BO206" s="5" t="s">
        <v>395</v>
      </c>
      <c r="BP206" s="5" t="s">
        <v>395</v>
      </c>
      <c r="BQ206" s="5" t="s">
        <v>395</v>
      </c>
      <c r="BR206" s="5" t="s">
        <v>395</v>
      </c>
      <c r="BS206" s="5" t="s">
        <v>395</v>
      </c>
      <c r="BT206" s="5" t="s">
        <v>395</v>
      </c>
      <c r="BU206" s="5" t="s">
        <v>395</v>
      </c>
      <c r="BV206" s="5" t="s">
        <v>395</v>
      </c>
      <c r="BW206" s="5" t="s">
        <v>395</v>
      </c>
      <c r="BX206" s="5" t="s">
        <v>395</v>
      </c>
      <c r="BY206" s="5" t="s">
        <v>395</v>
      </c>
      <c r="BZ206" s="5" t="s">
        <v>395</v>
      </c>
      <c r="CA206" s="5" t="s">
        <v>395</v>
      </c>
      <c r="CB206" s="5" t="s">
        <v>395</v>
      </c>
      <c r="CC206" s="5" t="s">
        <v>395</v>
      </c>
      <c r="CD206" s="5" t="s">
        <v>395</v>
      </c>
      <c r="CE206" s="5" t="s">
        <v>395</v>
      </c>
      <c r="CF206" s="5" t="s">
        <v>395</v>
      </c>
      <c r="CG206" s="5" t="s">
        <v>395</v>
      </c>
      <c r="CH206" s="5" t="s">
        <v>395</v>
      </c>
      <c r="CI206" s="5" t="s">
        <v>395</v>
      </c>
      <c r="CJ206" s="5" t="s">
        <v>395</v>
      </c>
      <c r="CK206" s="5" t="s">
        <v>395</v>
      </c>
      <c r="CL206" s="5" t="s">
        <v>395</v>
      </c>
      <c r="CM206" s="5" t="s">
        <v>395</v>
      </c>
      <c r="CN206" s="5" t="s">
        <v>395</v>
      </c>
      <c r="CO206" s="5" t="s">
        <v>395</v>
      </c>
      <c r="CP206" s="5" t="s">
        <v>395</v>
      </c>
      <c r="CQ206" s="5" t="s">
        <v>395</v>
      </c>
      <c r="CR206" s="5" t="s">
        <v>395</v>
      </c>
      <c r="CS206" s="5" t="s">
        <v>395</v>
      </c>
      <c r="CT206" s="5" t="s">
        <v>395</v>
      </c>
      <c r="CU206" s="5" t="s">
        <v>395</v>
      </c>
      <c r="CV206" s="5" t="s">
        <v>395</v>
      </c>
      <c r="CW206" s="5" t="s">
        <v>395</v>
      </c>
      <c r="CX206" s="5" t="s">
        <v>395</v>
      </c>
      <c r="CY206" s="252" t="s">
        <v>395</v>
      </c>
    </row>
    <row r="207" spans="1:103" x14ac:dyDescent="0.3">
      <c r="A207" s="98" t="s">
        <v>112</v>
      </c>
      <c r="B207" s="98" t="s">
        <v>24</v>
      </c>
      <c r="C207" s="132" t="s">
        <v>20</v>
      </c>
      <c r="D207" s="132" t="s">
        <v>125</v>
      </c>
      <c r="E207" s="98"/>
      <c r="F207" s="98"/>
      <c r="G207" s="245">
        <v>40418</v>
      </c>
      <c r="H207" s="1">
        <v>2010</v>
      </c>
      <c r="I207" s="75" t="s">
        <v>3</v>
      </c>
      <c r="J207" s="75" t="s">
        <v>114</v>
      </c>
      <c r="K207" s="155">
        <v>0.26</v>
      </c>
      <c r="L207" s="5" t="s">
        <v>395</v>
      </c>
      <c r="M207" s="35">
        <v>0.98</v>
      </c>
      <c r="N207" s="35">
        <v>4.3</v>
      </c>
      <c r="O207" s="35">
        <v>7</v>
      </c>
      <c r="P207" s="35">
        <v>5.8</v>
      </c>
      <c r="Q207" s="35">
        <v>9.8000000000000007</v>
      </c>
      <c r="R207" s="35">
        <v>5.8</v>
      </c>
      <c r="S207" s="35">
        <v>2.5</v>
      </c>
      <c r="T207" s="5">
        <f t="shared" si="29"/>
        <v>36.18</v>
      </c>
      <c r="U207" s="5">
        <f t="shared" si="30"/>
        <v>584.23076923076917</v>
      </c>
      <c r="V207" s="35" t="s">
        <v>72</v>
      </c>
      <c r="W207" s="35">
        <v>0.21</v>
      </c>
      <c r="X207" s="35">
        <v>4.1000000000000002E-2</v>
      </c>
      <c r="Y207" s="35">
        <v>4.2999999999999997E-2</v>
      </c>
      <c r="Z207" s="5" t="s">
        <v>395</v>
      </c>
      <c r="AA207" s="35">
        <v>8.3000000000000001E-3</v>
      </c>
      <c r="AB207" s="35">
        <v>4.7000000000000002E-3</v>
      </c>
      <c r="AC207" s="24" t="s">
        <v>395</v>
      </c>
      <c r="AD207" s="5" t="s">
        <v>395</v>
      </c>
      <c r="AE207" s="5">
        <f t="shared" si="26"/>
        <v>0.30699999999999994</v>
      </c>
      <c r="AF207" s="35" t="s">
        <v>46</v>
      </c>
      <c r="AG207" s="250" t="s">
        <v>395</v>
      </c>
      <c r="AH207" s="25">
        <f t="shared" si="24"/>
        <v>26.702127659574469</v>
      </c>
      <c r="AI207" s="5" t="s">
        <v>395</v>
      </c>
      <c r="AJ207" s="5" t="s">
        <v>395</v>
      </c>
      <c r="AK207" s="5" t="s">
        <v>395</v>
      </c>
      <c r="AL207" s="5" t="s">
        <v>395</v>
      </c>
      <c r="AM207" s="5" t="s">
        <v>395</v>
      </c>
      <c r="AN207" s="5" t="s">
        <v>395</v>
      </c>
      <c r="AO207" s="5" t="s">
        <v>395</v>
      </c>
      <c r="AP207" s="5" t="s">
        <v>395</v>
      </c>
      <c r="AQ207" s="5" t="s">
        <v>395</v>
      </c>
      <c r="AR207" s="5" t="s">
        <v>395</v>
      </c>
      <c r="AS207" s="5" t="s">
        <v>395</v>
      </c>
      <c r="AT207" s="5" t="s">
        <v>395</v>
      </c>
      <c r="AU207" s="5" t="s">
        <v>395</v>
      </c>
      <c r="AV207" s="5" t="s">
        <v>395</v>
      </c>
      <c r="AW207" s="5" t="s">
        <v>395</v>
      </c>
      <c r="AX207" s="5" t="s">
        <v>395</v>
      </c>
      <c r="AY207" s="5" t="s">
        <v>395</v>
      </c>
      <c r="AZ207" s="5" t="s">
        <v>395</v>
      </c>
      <c r="BA207" s="5" t="s">
        <v>395</v>
      </c>
      <c r="BB207" s="5" t="s">
        <v>395</v>
      </c>
      <c r="BC207" s="94">
        <v>502</v>
      </c>
      <c r="BD207" s="5" t="s">
        <v>395</v>
      </c>
      <c r="BE207" s="5" t="s">
        <v>395</v>
      </c>
      <c r="BF207" s="5" t="s">
        <v>395</v>
      </c>
      <c r="BG207" s="5" t="s">
        <v>395</v>
      </c>
      <c r="BH207" s="5" t="s">
        <v>395</v>
      </c>
      <c r="BI207" s="5" t="s">
        <v>395</v>
      </c>
      <c r="BJ207" s="5" t="s">
        <v>395</v>
      </c>
      <c r="BK207" s="5" t="s">
        <v>395</v>
      </c>
      <c r="BL207" s="5" t="s">
        <v>395</v>
      </c>
      <c r="BM207" s="5" t="s">
        <v>395</v>
      </c>
      <c r="BN207" s="5" t="s">
        <v>395</v>
      </c>
      <c r="BO207" s="5" t="s">
        <v>395</v>
      </c>
      <c r="BP207" s="5" t="s">
        <v>395</v>
      </c>
      <c r="BQ207" s="5" t="s">
        <v>395</v>
      </c>
      <c r="BR207" s="5" t="s">
        <v>395</v>
      </c>
      <c r="BS207" s="5" t="s">
        <v>395</v>
      </c>
      <c r="BT207" s="5" t="s">
        <v>395</v>
      </c>
      <c r="BU207" s="5" t="s">
        <v>395</v>
      </c>
      <c r="BV207" s="5" t="s">
        <v>395</v>
      </c>
      <c r="BW207" s="5" t="s">
        <v>395</v>
      </c>
      <c r="BX207" s="5" t="s">
        <v>395</v>
      </c>
      <c r="BY207" s="5" t="s">
        <v>395</v>
      </c>
      <c r="BZ207" s="5" t="s">
        <v>395</v>
      </c>
      <c r="CA207" s="5" t="s">
        <v>395</v>
      </c>
      <c r="CB207" s="5" t="s">
        <v>395</v>
      </c>
      <c r="CC207" s="5" t="s">
        <v>395</v>
      </c>
      <c r="CD207" s="5" t="s">
        <v>395</v>
      </c>
      <c r="CE207" s="5" t="s">
        <v>395</v>
      </c>
      <c r="CF207" s="5" t="s">
        <v>395</v>
      </c>
      <c r="CG207" s="5" t="s">
        <v>395</v>
      </c>
      <c r="CH207" s="5" t="s">
        <v>395</v>
      </c>
      <c r="CI207" s="5" t="s">
        <v>395</v>
      </c>
      <c r="CJ207" s="5" t="s">
        <v>395</v>
      </c>
      <c r="CK207" s="5" t="s">
        <v>395</v>
      </c>
      <c r="CL207" s="5" t="s">
        <v>395</v>
      </c>
      <c r="CM207" s="5" t="s">
        <v>395</v>
      </c>
      <c r="CN207" s="5" t="s">
        <v>395</v>
      </c>
      <c r="CO207" s="5" t="s">
        <v>395</v>
      </c>
      <c r="CP207" s="5" t="s">
        <v>395</v>
      </c>
      <c r="CQ207" s="5" t="s">
        <v>395</v>
      </c>
      <c r="CR207" s="5" t="s">
        <v>395</v>
      </c>
      <c r="CS207" s="5" t="s">
        <v>395</v>
      </c>
      <c r="CT207" s="5" t="s">
        <v>395</v>
      </c>
      <c r="CU207" s="5" t="s">
        <v>395</v>
      </c>
      <c r="CV207" s="5" t="s">
        <v>395</v>
      </c>
      <c r="CW207" s="5" t="s">
        <v>395</v>
      </c>
      <c r="CX207" s="5" t="s">
        <v>395</v>
      </c>
      <c r="CY207" s="252" t="s">
        <v>395</v>
      </c>
    </row>
    <row r="208" spans="1:103" x14ac:dyDescent="0.3">
      <c r="A208" s="98" t="s">
        <v>112</v>
      </c>
      <c r="B208" s="98" t="s">
        <v>24</v>
      </c>
      <c r="C208" s="132" t="s">
        <v>20</v>
      </c>
      <c r="D208" s="132" t="s">
        <v>125</v>
      </c>
      <c r="E208" s="98"/>
      <c r="F208" s="98"/>
      <c r="G208" s="245">
        <v>40418</v>
      </c>
      <c r="H208" s="1">
        <v>2010</v>
      </c>
      <c r="I208" s="75" t="s">
        <v>3</v>
      </c>
      <c r="J208" s="75" t="s">
        <v>114</v>
      </c>
      <c r="K208" s="155">
        <v>0.44000000000000006</v>
      </c>
      <c r="L208" s="5" t="s">
        <v>395</v>
      </c>
      <c r="M208" s="35">
        <v>2.1</v>
      </c>
      <c r="N208" s="35">
        <v>5.6</v>
      </c>
      <c r="O208" s="35">
        <v>10</v>
      </c>
      <c r="P208" s="35">
        <v>9.1999999999999993</v>
      </c>
      <c r="Q208" s="35">
        <v>17</v>
      </c>
      <c r="R208" s="35">
        <v>11</v>
      </c>
      <c r="S208" s="35">
        <v>5.0999999999999996</v>
      </c>
      <c r="T208" s="5">
        <f t="shared" si="29"/>
        <v>60</v>
      </c>
      <c r="U208" s="5">
        <f t="shared" si="30"/>
        <v>577.27272727272725</v>
      </c>
      <c r="V208" s="35" t="s">
        <v>62</v>
      </c>
      <c r="W208" s="35">
        <v>0.44</v>
      </c>
      <c r="X208" s="35">
        <v>0.11</v>
      </c>
      <c r="Y208" s="35">
        <v>3.6999999999999998E-2</v>
      </c>
      <c r="Z208" s="5" t="s">
        <v>395</v>
      </c>
      <c r="AA208" s="35">
        <v>2.4E-2</v>
      </c>
      <c r="AB208" s="35">
        <v>1.4E-2</v>
      </c>
      <c r="AC208" s="24" t="s">
        <v>395</v>
      </c>
      <c r="AD208" s="5" t="s">
        <v>395</v>
      </c>
      <c r="AE208" s="5">
        <f t="shared" si="26"/>
        <v>0.625</v>
      </c>
      <c r="AF208" s="35" t="s">
        <v>46</v>
      </c>
      <c r="AG208" s="250" t="s">
        <v>395</v>
      </c>
      <c r="AH208" s="25">
        <f t="shared" si="24"/>
        <v>90.90425531914893</v>
      </c>
      <c r="AI208" s="5" t="s">
        <v>395</v>
      </c>
      <c r="AJ208" s="5" t="s">
        <v>395</v>
      </c>
      <c r="AK208" s="5" t="s">
        <v>395</v>
      </c>
      <c r="AL208" s="5" t="s">
        <v>395</v>
      </c>
      <c r="AM208" s="5" t="s">
        <v>395</v>
      </c>
      <c r="AN208" s="5" t="s">
        <v>395</v>
      </c>
      <c r="AO208" s="5" t="s">
        <v>395</v>
      </c>
      <c r="AP208" s="5" t="s">
        <v>395</v>
      </c>
      <c r="AQ208" s="5" t="s">
        <v>395</v>
      </c>
      <c r="AR208" s="5" t="s">
        <v>395</v>
      </c>
      <c r="AS208" s="5" t="s">
        <v>395</v>
      </c>
      <c r="AT208" s="5" t="s">
        <v>395</v>
      </c>
      <c r="AU208" s="5" t="s">
        <v>395</v>
      </c>
      <c r="AV208" s="5" t="s">
        <v>395</v>
      </c>
      <c r="AW208" s="5" t="s">
        <v>395</v>
      </c>
      <c r="AX208" s="5" t="s">
        <v>395</v>
      </c>
      <c r="AY208" s="5" t="s">
        <v>395</v>
      </c>
      <c r="AZ208" s="5" t="s">
        <v>395</v>
      </c>
      <c r="BA208" s="5" t="s">
        <v>395</v>
      </c>
      <c r="BB208" s="5" t="s">
        <v>395</v>
      </c>
      <c r="BC208" s="94">
        <v>1709</v>
      </c>
      <c r="BD208" s="5" t="s">
        <v>395</v>
      </c>
      <c r="BE208" s="5" t="s">
        <v>395</v>
      </c>
      <c r="BF208" s="5" t="s">
        <v>395</v>
      </c>
      <c r="BG208" s="5" t="s">
        <v>395</v>
      </c>
      <c r="BH208" s="5" t="s">
        <v>395</v>
      </c>
      <c r="BI208" s="5" t="s">
        <v>395</v>
      </c>
      <c r="BJ208" s="5" t="s">
        <v>395</v>
      </c>
      <c r="BK208" s="5" t="s">
        <v>395</v>
      </c>
      <c r="BL208" s="5" t="s">
        <v>395</v>
      </c>
      <c r="BM208" s="5" t="s">
        <v>395</v>
      </c>
      <c r="BN208" s="5" t="s">
        <v>395</v>
      </c>
      <c r="BO208" s="5" t="s">
        <v>395</v>
      </c>
      <c r="BP208" s="5" t="s">
        <v>395</v>
      </c>
      <c r="BQ208" s="5" t="s">
        <v>395</v>
      </c>
      <c r="BR208" s="5" t="s">
        <v>395</v>
      </c>
      <c r="BS208" s="5" t="s">
        <v>395</v>
      </c>
      <c r="BT208" s="5" t="s">
        <v>395</v>
      </c>
      <c r="BU208" s="5" t="s">
        <v>395</v>
      </c>
      <c r="BV208" s="5" t="s">
        <v>395</v>
      </c>
      <c r="BW208" s="5" t="s">
        <v>395</v>
      </c>
      <c r="BX208" s="5" t="s">
        <v>395</v>
      </c>
      <c r="BY208" s="5" t="s">
        <v>395</v>
      </c>
      <c r="BZ208" s="5" t="s">
        <v>395</v>
      </c>
      <c r="CA208" s="5" t="s">
        <v>395</v>
      </c>
      <c r="CB208" s="5" t="s">
        <v>395</v>
      </c>
      <c r="CC208" s="5" t="s">
        <v>395</v>
      </c>
      <c r="CD208" s="5" t="s">
        <v>395</v>
      </c>
      <c r="CE208" s="5" t="s">
        <v>395</v>
      </c>
      <c r="CF208" s="5" t="s">
        <v>395</v>
      </c>
      <c r="CG208" s="5" t="s">
        <v>395</v>
      </c>
      <c r="CH208" s="5" t="s">
        <v>395</v>
      </c>
      <c r="CI208" s="5" t="s">
        <v>395</v>
      </c>
      <c r="CJ208" s="5" t="s">
        <v>395</v>
      </c>
      <c r="CK208" s="5" t="s">
        <v>395</v>
      </c>
      <c r="CL208" s="5" t="s">
        <v>395</v>
      </c>
      <c r="CM208" s="5" t="s">
        <v>395</v>
      </c>
      <c r="CN208" s="5" t="s">
        <v>395</v>
      </c>
      <c r="CO208" s="5" t="s">
        <v>395</v>
      </c>
      <c r="CP208" s="5" t="s">
        <v>395</v>
      </c>
      <c r="CQ208" s="5" t="s">
        <v>395</v>
      </c>
      <c r="CR208" s="5" t="s">
        <v>395</v>
      </c>
      <c r="CS208" s="5" t="s">
        <v>395</v>
      </c>
      <c r="CT208" s="5" t="s">
        <v>395</v>
      </c>
      <c r="CU208" s="5" t="s">
        <v>395</v>
      </c>
      <c r="CV208" s="5" t="s">
        <v>395</v>
      </c>
      <c r="CW208" s="5" t="s">
        <v>395</v>
      </c>
      <c r="CX208" s="5" t="s">
        <v>395</v>
      </c>
      <c r="CY208" s="252" t="s">
        <v>395</v>
      </c>
    </row>
    <row r="209" spans="1:104" x14ac:dyDescent="0.3">
      <c r="A209" s="98" t="s">
        <v>112</v>
      </c>
      <c r="B209" s="98" t="s">
        <v>24</v>
      </c>
      <c r="C209" s="132" t="s">
        <v>20</v>
      </c>
      <c r="D209" s="132" t="s">
        <v>125</v>
      </c>
      <c r="E209" s="98"/>
      <c r="F209" s="98"/>
      <c r="G209" s="245">
        <v>40418</v>
      </c>
      <c r="H209" s="1">
        <v>2010</v>
      </c>
      <c r="I209" s="75" t="s">
        <v>3</v>
      </c>
      <c r="J209" s="75" t="s">
        <v>114</v>
      </c>
      <c r="K209" s="155">
        <v>0.79</v>
      </c>
      <c r="L209" s="5" t="s">
        <v>395</v>
      </c>
      <c r="M209" s="35">
        <v>2.2999999999999998</v>
      </c>
      <c r="N209" s="35">
        <v>6</v>
      </c>
      <c r="O209" s="35">
        <v>17</v>
      </c>
      <c r="P209" s="35">
        <v>14</v>
      </c>
      <c r="Q209" s="35">
        <v>23</v>
      </c>
      <c r="R209" s="35">
        <v>14</v>
      </c>
      <c r="S209" s="35">
        <v>6.4</v>
      </c>
      <c r="T209" s="5">
        <f t="shared" si="29"/>
        <v>82.7</v>
      </c>
      <c r="U209" s="5">
        <f t="shared" si="30"/>
        <v>434.81012658227849</v>
      </c>
      <c r="V209" s="35" t="s">
        <v>59</v>
      </c>
      <c r="W209" s="35">
        <v>0.68</v>
      </c>
      <c r="X209" s="35">
        <v>0.24</v>
      </c>
      <c r="Y209" s="35">
        <v>0.12</v>
      </c>
      <c r="Z209" s="5" t="s">
        <v>395</v>
      </c>
      <c r="AA209" s="35">
        <v>0.01</v>
      </c>
      <c r="AB209" s="35" t="s">
        <v>63</v>
      </c>
      <c r="AC209" s="24" t="s">
        <v>395</v>
      </c>
      <c r="AD209" s="5" t="s">
        <v>395</v>
      </c>
      <c r="AE209" s="5">
        <f t="shared" si="26"/>
        <v>1.05</v>
      </c>
      <c r="AF209" s="35" t="s">
        <v>46</v>
      </c>
      <c r="AG209" s="250" t="s">
        <v>395</v>
      </c>
      <c r="AH209" s="25">
        <f t="shared" si="24"/>
        <v>6.9680851063829783</v>
      </c>
      <c r="AI209" s="5" t="s">
        <v>395</v>
      </c>
      <c r="AJ209" s="5" t="s">
        <v>395</v>
      </c>
      <c r="AK209" s="5" t="s">
        <v>395</v>
      </c>
      <c r="AL209" s="5" t="s">
        <v>395</v>
      </c>
      <c r="AM209" s="5" t="s">
        <v>395</v>
      </c>
      <c r="AN209" s="5" t="s">
        <v>395</v>
      </c>
      <c r="AO209" s="5" t="s">
        <v>395</v>
      </c>
      <c r="AP209" s="5" t="s">
        <v>395</v>
      </c>
      <c r="AQ209" s="5" t="s">
        <v>395</v>
      </c>
      <c r="AR209" s="5" t="s">
        <v>395</v>
      </c>
      <c r="AS209" s="5" t="s">
        <v>395</v>
      </c>
      <c r="AT209" s="5" t="s">
        <v>395</v>
      </c>
      <c r="AU209" s="5" t="s">
        <v>395</v>
      </c>
      <c r="AV209" s="5" t="s">
        <v>395</v>
      </c>
      <c r="AW209" s="5" t="s">
        <v>395</v>
      </c>
      <c r="AX209" s="5" t="s">
        <v>395</v>
      </c>
      <c r="AY209" s="5" t="s">
        <v>395</v>
      </c>
      <c r="AZ209" s="5" t="s">
        <v>395</v>
      </c>
      <c r="BA209" s="5" t="s">
        <v>395</v>
      </c>
      <c r="BB209" s="5" t="s">
        <v>395</v>
      </c>
      <c r="BC209" s="94">
        <v>131</v>
      </c>
      <c r="BD209" s="5" t="s">
        <v>395</v>
      </c>
      <c r="BE209" s="5" t="s">
        <v>395</v>
      </c>
      <c r="BF209" s="5" t="s">
        <v>395</v>
      </c>
      <c r="BG209" s="5" t="s">
        <v>395</v>
      </c>
      <c r="BH209" s="5" t="s">
        <v>395</v>
      </c>
      <c r="BI209" s="5" t="s">
        <v>395</v>
      </c>
      <c r="BJ209" s="5" t="s">
        <v>395</v>
      </c>
      <c r="BK209" s="5" t="s">
        <v>395</v>
      </c>
      <c r="BL209" s="5" t="s">
        <v>395</v>
      </c>
      <c r="BM209" s="5" t="s">
        <v>395</v>
      </c>
      <c r="BN209" s="5" t="s">
        <v>395</v>
      </c>
      <c r="BO209" s="5" t="s">
        <v>395</v>
      </c>
      <c r="BP209" s="5" t="s">
        <v>395</v>
      </c>
      <c r="BQ209" s="5" t="s">
        <v>395</v>
      </c>
      <c r="BR209" s="5" t="s">
        <v>395</v>
      </c>
      <c r="BS209" s="5" t="s">
        <v>395</v>
      </c>
      <c r="BT209" s="5" t="s">
        <v>395</v>
      </c>
      <c r="BU209" s="5" t="s">
        <v>395</v>
      </c>
      <c r="BV209" s="5" t="s">
        <v>395</v>
      </c>
      <c r="BW209" s="5" t="s">
        <v>395</v>
      </c>
      <c r="BX209" s="5" t="s">
        <v>395</v>
      </c>
      <c r="BY209" s="5" t="s">
        <v>395</v>
      </c>
      <c r="BZ209" s="5" t="s">
        <v>395</v>
      </c>
      <c r="CA209" s="5" t="s">
        <v>395</v>
      </c>
      <c r="CB209" s="5" t="s">
        <v>395</v>
      </c>
      <c r="CC209" s="5" t="s">
        <v>395</v>
      </c>
      <c r="CD209" s="5" t="s">
        <v>395</v>
      </c>
      <c r="CE209" s="5" t="s">
        <v>395</v>
      </c>
      <c r="CF209" s="5" t="s">
        <v>395</v>
      </c>
      <c r="CG209" s="5" t="s">
        <v>395</v>
      </c>
      <c r="CH209" s="5" t="s">
        <v>395</v>
      </c>
      <c r="CI209" s="5" t="s">
        <v>395</v>
      </c>
      <c r="CJ209" s="5" t="s">
        <v>395</v>
      </c>
      <c r="CK209" s="5" t="s">
        <v>395</v>
      </c>
      <c r="CL209" s="5" t="s">
        <v>395</v>
      </c>
      <c r="CM209" s="5" t="s">
        <v>395</v>
      </c>
      <c r="CN209" s="5" t="s">
        <v>395</v>
      </c>
      <c r="CO209" s="5" t="s">
        <v>395</v>
      </c>
      <c r="CP209" s="5" t="s">
        <v>395</v>
      </c>
      <c r="CQ209" s="5" t="s">
        <v>395</v>
      </c>
      <c r="CR209" s="5" t="s">
        <v>395</v>
      </c>
      <c r="CS209" s="5" t="s">
        <v>395</v>
      </c>
      <c r="CT209" s="5" t="s">
        <v>395</v>
      </c>
      <c r="CU209" s="5" t="s">
        <v>395</v>
      </c>
      <c r="CV209" s="5" t="s">
        <v>395</v>
      </c>
      <c r="CW209" s="5" t="s">
        <v>395</v>
      </c>
      <c r="CX209" s="5" t="s">
        <v>395</v>
      </c>
      <c r="CY209" s="252" t="s">
        <v>395</v>
      </c>
    </row>
    <row r="210" spans="1:104" x14ac:dyDescent="0.3">
      <c r="A210" s="98" t="s">
        <v>112</v>
      </c>
      <c r="B210" s="98" t="s">
        <v>24</v>
      </c>
      <c r="C210" s="132" t="s">
        <v>20</v>
      </c>
      <c r="D210" s="132" t="s">
        <v>125</v>
      </c>
      <c r="E210" s="98"/>
      <c r="F210" s="98"/>
      <c r="G210" s="245">
        <v>40418</v>
      </c>
      <c r="H210" s="1">
        <v>2010</v>
      </c>
      <c r="I210" s="75" t="s">
        <v>3</v>
      </c>
      <c r="J210" s="75" t="s">
        <v>114</v>
      </c>
      <c r="K210" s="155">
        <v>0.36</v>
      </c>
      <c r="L210" s="5" t="s">
        <v>395</v>
      </c>
      <c r="M210" s="35">
        <v>2.2999999999999998</v>
      </c>
      <c r="N210" s="35">
        <v>6.8</v>
      </c>
      <c r="O210" s="35">
        <v>17</v>
      </c>
      <c r="P210" s="35">
        <v>15</v>
      </c>
      <c r="Q210" s="35">
        <v>31</v>
      </c>
      <c r="R210" s="35">
        <v>18</v>
      </c>
      <c r="S210" s="35">
        <v>8.9</v>
      </c>
      <c r="T210" s="5">
        <f t="shared" si="29"/>
        <v>99</v>
      </c>
      <c r="U210" s="5">
        <f t="shared" si="30"/>
        <v>1166.6666666666667</v>
      </c>
      <c r="V210" s="35">
        <v>1.0999999999999999E-2</v>
      </c>
      <c r="W210" s="35">
        <v>0.62</v>
      </c>
      <c r="X210" s="35">
        <v>0.16</v>
      </c>
      <c r="Y210" s="35">
        <v>0.1</v>
      </c>
      <c r="Z210" s="5" t="s">
        <v>395</v>
      </c>
      <c r="AA210" s="35">
        <v>0.04</v>
      </c>
      <c r="AB210" s="35">
        <v>2.5999999999999999E-2</v>
      </c>
      <c r="AC210" s="24" t="s">
        <v>395</v>
      </c>
      <c r="AD210" s="5" t="s">
        <v>395</v>
      </c>
      <c r="AE210" s="5">
        <f t="shared" si="26"/>
        <v>0.95700000000000007</v>
      </c>
      <c r="AF210" s="35" t="s">
        <v>46</v>
      </c>
      <c r="AG210" s="250" t="s">
        <v>395</v>
      </c>
      <c r="AH210" s="25">
        <f t="shared" si="24"/>
        <v>33.191489361702125</v>
      </c>
      <c r="AI210" s="5" t="s">
        <v>395</v>
      </c>
      <c r="AJ210" s="5" t="s">
        <v>395</v>
      </c>
      <c r="AK210" s="5" t="s">
        <v>395</v>
      </c>
      <c r="AL210" s="5" t="s">
        <v>395</v>
      </c>
      <c r="AM210" s="5" t="s">
        <v>395</v>
      </c>
      <c r="AN210" s="5" t="s">
        <v>395</v>
      </c>
      <c r="AO210" s="5" t="s">
        <v>395</v>
      </c>
      <c r="AP210" s="5" t="s">
        <v>395</v>
      </c>
      <c r="AQ210" s="5" t="s">
        <v>395</v>
      </c>
      <c r="AR210" s="5" t="s">
        <v>395</v>
      </c>
      <c r="AS210" s="5" t="s">
        <v>395</v>
      </c>
      <c r="AT210" s="5" t="s">
        <v>395</v>
      </c>
      <c r="AU210" s="5" t="s">
        <v>395</v>
      </c>
      <c r="AV210" s="5" t="s">
        <v>395</v>
      </c>
      <c r="AW210" s="5" t="s">
        <v>395</v>
      </c>
      <c r="AX210" s="5" t="s">
        <v>395</v>
      </c>
      <c r="AY210" s="5" t="s">
        <v>395</v>
      </c>
      <c r="AZ210" s="5" t="s">
        <v>395</v>
      </c>
      <c r="BA210" s="5" t="s">
        <v>395</v>
      </c>
      <c r="BB210" s="5" t="s">
        <v>395</v>
      </c>
      <c r="BC210" s="94">
        <v>624</v>
      </c>
      <c r="BD210" s="5" t="s">
        <v>395</v>
      </c>
      <c r="BE210" s="5" t="s">
        <v>395</v>
      </c>
      <c r="BF210" s="5" t="s">
        <v>395</v>
      </c>
      <c r="BG210" s="5" t="s">
        <v>395</v>
      </c>
      <c r="BH210" s="5" t="s">
        <v>395</v>
      </c>
      <c r="BI210" s="5" t="s">
        <v>395</v>
      </c>
      <c r="BJ210" s="5" t="s">
        <v>395</v>
      </c>
      <c r="BK210" s="5" t="s">
        <v>395</v>
      </c>
      <c r="BL210" s="5" t="s">
        <v>395</v>
      </c>
      <c r="BM210" s="5" t="s">
        <v>395</v>
      </c>
      <c r="BN210" s="5" t="s">
        <v>395</v>
      </c>
      <c r="BO210" s="5" t="s">
        <v>395</v>
      </c>
      <c r="BP210" s="5" t="s">
        <v>395</v>
      </c>
      <c r="BQ210" s="5" t="s">
        <v>395</v>
      </c>
      <c r="BR210" s="5" t="s">
        <v>395</v>
      </c>
      <c r="BS210" s="5" t="s">
        <v>395</v>
      </c>
      <c r="BT210" s="5" t="s">
        <v>395</v>
      </c>
      <c r="BU210" s="5" t="s">
        <v>395</v>
      </c>
      <c r="BV210" s="5" t="s">
        <v>395</v>
      </c>
      <c r="BW210" s="5" t="s">
        <v>395</v>
      </c>
      <c r="BX210" s="5" t="s">
        <v>395</v>
      </c>
      <c r="BY210" s="5" t="s">
        <v>395</v>
      </c>
      <c r="BZ210" s="5" t="s">
        <v>395</v>
      </c>
      <c r="CA210" s="5" t="s">
        <v>395</v>
      </c>
      <c r="CB210" s="5" t="s">
        <v>395</v>
      </c>
      <c r="CC210" s="5" t="s">
        <v>395</v>
      </c>
      <c r="CD210" s="5" t="s">
        <v>395</v>
      </c>
      <c r="CE210" s="5" t="s">
        <v>395</v>
      </c>
      <c r="CF210" s="5" t="s">
        <v>395</v>
      </c>
      <c r="CG210" s="5" t="s">
        <v>395</v>
      </c>
      <c r="CH210" s="5" t="s">
        <v>395</v>
      </c>
      <c r="CI210" s="5" t="s">
        <v>395</v>
      </c>
      <c r="CJ210" s="5" t="s">
        <v>395</v>
      </c>
      <c r="CK210" s="5" t="s">
        <v>395</v>
      </c>
      <c r="CL210" s="5" t="s">
        <v>395</v>
      </c>
      <c r="CM210" s="5" t="s">
        <v>395</v>
      </c>
      <c r="CN210" s="5" t="s">
        <v>395</v>
      </c>
      <c r="CO210" s="5" t="s">
        <v>395</v>
      </c>
      <c r="CP210" s="5" t="s">
        <v>395</v>
      </c>
      <c r="CQ210" s="5" t="s">
        <v>395</v>
      </c>
      <c r="CR210" s="5" t="s">
        <v>395</v>
      </c>
      <c r="CS210" s="5" t="s">
        <v>395</v>
      </c>
      <c r="CT210" s="5" t="s">
        <v>395</v>
      </c>
      <c r="CU210" s="5" t="s">
        <v>395</v>
      </c>
      <c r="CV210" s="5" t="s">
        <v>395</v>
      </c>
      <c r="CW210" s="5" t="s">
        <v>395</v>
      </c>
      <c r="CX210" s="5" t="s">
        <v>395</v>
      </c>
      <c r="CY210" s="252" t="s">
        <v>395</v>
      </c>
    </row>
    <row r="211" spans="1:104" x14ac:dyDescent="0.3">
      <c r="A211" s="98" t="s">
        <v>112</v>
      </c>
      <c r="B211" s="98" t="s">
        <v>24</v>
      </c>
      <c r="C211" s="132" t="s">
        <v>20</v>
      </c>
      <c r="D211" s="132" t="s">
        <v>125</v>
      </c>
      <c r="E211" s="98"/>
      <c r="F211" s="98"/>
      <c r="G211" s="245">
        <v>40418</v>
      </c>
      <c r="H211" s="1">
        <v>2010</v>
      </c>
      <c r="I211" s="75" t="s">
        <v>3</v>
      </c>
      <c r="J211" s="75" t="s">
        <v>114</v>
      </c>
      <c r="K211" s="155">
        <v>0.38</v>
      </c>
      <c r="L211" s="5" t="s">
        <v>395</v>
      </c>
      <c r="M211" s="35">
        <v>1.7</v>
      </c>
      <c r="N211" s="35">
        <v>7.3</v>
      </c>
      <c r="O211" s="35">
        <v>13</v>
      </c>
      <c r="P211" s="35">
        <v>8.5</v>
      </c>
      <c r="Q211" s="35">
        <v>16</v>
      </c>
      <c r="R211" s="35">
        <v>11</v>
      </c>
      <c r="S211" s="35">
        <v>3.1</v>
      </c>
      <c r="T211" s="5">
        <f t="shared" si="29"/>
        <v>60.6</v>
      </c>
      <c r="U211" s="5">
        <f t="shared" si="30"/>
        <v>685.52631578947364</v>
      </c>
      <c r="V211" s="35">
        <v>1.2E-2</v>
      </c>
      <c r="W211" s="35">
        <v>0.37</v>
      </c>
      <c r="X211" s="35">
        <v>7.1999999999999995E-2</v>
      </c>
      <c r="Y211" s="35">
        <v>6.3E-2</v>
      </c>
      <c r="Z211" s="5" t="s">
        <v>395</v>
      </c>
      <c r="AA211" s="35">
        <v>1.6E-2</v>
      </c>
      <c r="AB211" s="35">
        <v>7.6E-3</v>
      </c>
      <c r="AC211" s="24" t="s">
        <v>395</v>
      </c>
      <c r="AD211" s="5" t="s">
        <v>395</v>
      </c>
      <c r="AE211" s="5">
        <f t="shared" si="26"/>
        <v>0.54060000000000008</v>
      </c>
      <c r="AF211" s="35" t="s">
        <v>46</v>
      </c>
      <c r="AG211" s="250" t="s">
        <v>395</v>
      </c>
      <c r="AH211" s="25">
        <f t="shared" si="24"/>
        <v>18.191489361702128</v>
      </c>
      <c r="AI211" s="5" t="s">
        <v>395</v>
      </c>
      <c r="AJ211" s="5" t="s">
        <v>395</v>
      </c>
      <c r="AK211" s="5" t="s">
        <v>395</v>
      </c>
      <c r="AL211" s="5" t="s">
        <v>395</v>
      </c>
      <c r="AM211" s="5" t="s">
        <v>395</v>
      </c>
      <c r="AN211" s="5" t="s">
        <v>395</v>
      </c>
      <c r="AO211" s="5" t="s">
        <v>395</v>
      </c>
      <c r="AP211" s="5" t="s">
        <v>395</v>
      </c>
      <c r="AQ211" s="5" t="s">
        <v>395</v>
      </c>
      <c r="AR211" s="5" t="s">
        <v>395</v>
      </c>
      <c r="AS211" s="5" t="s">
        <v>395</v>
      </c>
      <c r="AT211" s="5" t="s">
        <v>395</v>
      </c>
      <c r="AU211" s="5" t="s">
        <v>395</v>
      </c>
      <c r="AV211" s="5" t="s">
        <v>395</v>
      </c>
      <c r="AW211" s="5" t="s">
        <v>395</v>
      </c>
      <c r="AX211" s="5" t="s">
        <v>395</v>
      </c>
      <c r="AY211" s="5" t="s">
        <v>395</v>
      </c>
      <c r="AZ211" s="5" t="s">
        <v>395</v>
      </c>
      <c r="BA211" s="5" t="s">
        <v>395</v>
      </c>
      <c r="BB211" s="5" t="s">
        <v>395</v>
      </c>
      <c r="BC211" s="94">
        <v>342</v>
      </c>
      <c r="BD211" s="5" t="s">
        <v>395</v>
      </c>
      <c r="BE211" s="5" t="s">
        <v>395</v>
      </c>
      <c r="BF211" s="5" t="s">
        <v>395</v>
      </c>
      <c r="BG211" s="5" t="s">
        <v>395</v>
      </c>
      <c r="BH211" s="5" t="s">
        <v>395</v>
      </c>
      <c r="BI211" s="5" t="s">
        <v>395</v>
      </c>
      <c r="BJ211" s="5" t="s">
        <v>395</v>
      </c>
      <c r="BK211" s="5" t="s">
        <v>395</v>
      </c>
      <c r="BL211" s="5" t="s">
        <v>395</v>
      </c>
      <c r="BM211" s="5" t="s">
        <v>395</v>
      </c>
      <c r="BN211" s="5" t="s">
        <v>395</v>
      </c>
      <c r="BO211" s="5" t="s">
        <v>395</v>
      </c>
      <c r="BP211" s="5" t="s">
        <v>395</v>
      </c>
      <c r="BQ211" s="5" t="s">
        <v>395</v>
      </c>
      <c r="BR211" s="5" t="s">
        <v>395</v>
      </c>
      <c r="BS211" s="5" t="s">
        <v>395</v>
      </c>
      <c r="BT211" s="5" t="s">
        <v>395</v>
      </c>
      <c r="BU211" s="5" t="s">
        <v>395</v>
      </c>
      <c r="BV211" s="5" t="s">
        <v>395</v>
      </c>
      <c r="BW211" s="5" t="s">
        <v>395</v>
      </c>
      <c r="BX211" s="5" t="s">
        <v>395</v>
      </c>
      <c r="BY211" s="5" t="s">
        <v>395</v>
      </c>
      <c r="BZ211" s="5" t="s">
        <v>395</v>
      </c>
      <c r="CA211" s="5" t="s">
        <v>395</v>
      </c>
      <c r="CB211" s="5" t="s">
        <v>395</v>
      </c>
      <c r="CC211" s="5" t="s">
        <v>395</v>
      </c>
      <c r="CD211" s="5" t="s">
        <v>395</v>
      </c>
      <c r="CE211" s="5" t="s">
        <v>395</v>
      </c>
      <c r="CF211" s="5" t="s">
        <v>395</v>
      </c>
      <c r="CG211" s="5" t="s">
        <v>395</v>
      </c>
      <c r="CH211" s="5" t="s">
        <v>395</v>
      </c>
      <c r="CI211" s="5" t="s">
        <v>395</v>
      </c>
      <c r="CJ211" s="5" t="s">
        <v>395</v>
      </c>
      <c r="CK211" s="5" t="s">
        <v>395</v>
      </c>
      <c r="CL211" s="5" t="s">
        <v>395</v>
      </c>
      <c r="CM211" s="5" t="s">
        <v>395</v>
      </c>
      <c r="CN211" s="5" t="s">
        <v>395</v>
      </c>
      <c r="CO211" s="5" t="s">
        <v>395</v>
      </c>
      <c r="CP211" s="5" t="s">
        <v>395</v>
      </c>
      <c r="CQ211" s="5" t="s">
        <v>395</v>
      </c>
      <c r="CR211" s="5" t="s">
        <v>395</v>
      </c>
      <c r="CS211" s="5" t="s">
        <v>395</v>
      </c>
      <c r="CT211" s="5" t="s">
        <v>395</v>
      </c>
      <c r="CU211" s="5" t="s">
        <v>395</v>
      </c>
      <c r="CV211" s="5" t="s">
        <v>395</v>
      </c>
      <c r="CW211" s="5" t="s">
        <v>395</v>
      </c>
      <c r="CX211" s="5" t="s">
        <v>395</v>
      </c>
      <c r="CY211" s="252" t="s">
        <v>395</v>
      </c>
    </row>
    <row r="212" spans="1:104" x14ac:dyDescent="0.3">
      <c r="A212" s="98" t="s">
        <v>112</v>
      </c>
      <c r="B212" s="98" t="s">
        <v>24</v>
      </c>
      <c r="C212" s="132" t="s">
        <v>20</v>
      </c>
      <c r="D212" s="132" t="s">
        <v>125</v>
      </c>
      <c r="E212" s="98"/>
      <c r="F212" s="98"/>
      <c r="G212" s="245">
        <v>40418</v>
      </c>
      <c r="H212" s="1">
        <v>2010</v>
      </c>
      <c r="I212" s="75" t="s">
        <v>3</v>
      </c>
      <c r="J212" s="75" t="s">
        <v>114</v>
      </c>
      <c r="K212" s="155">
        <v>0.3</v>
      </c>
      <c r="L212" s="5" t="s">
        <v>395</v>
      </c>
      <c r="M212" s="35">
        <v>2.2999999999999998</v>
      </c>
      <c r="N212" s="35">
        <v>6.7</v>
      </c>
      <c r="O212" s="35">
        <v>16</v>
      </c>
      <c r="P212" s="35">
        <v>14</v>
      </c>
      <c r="Q212" s="35">
        <v>29</v>
      </c>
      <c r="R212" s="35">
        <v>22</v>
      </c>
      <c r="S212" s="35">
        <v>6.4</v>
      </c>
      <c r="T212" s="5">
        <f t="shared" si="29"/>
        <v>96.4</v>
      </c>
      <c r="U212" s="5">
        <f>SUM(M212,N212,O212,Q212,R212,S212)*(5/K212)</f>
        <v>1373.3333333333335</v>
      </c>
      <c r="V212" s="35">
        <v>8.8000000000000005E-3</v>
      </c>
      <c r="W212" s="35">
        <v>0.56999999999999995</v>
      </c>
      <c r="X212" s="35">
        <v>0.14000000000000001</v>
      </c>
      <c r="Y212" s="35">
        <v>0.19</v>
      </c>
      <c r="Z212" s="5" t="s">
        <v>395</v>
      </c>
      <c r="AA212" s="35">
        <v>2.3E-2</v>
      </c>
      <c r="AB212" s="35">
        <v>1.7999999999999999E-2</v>
      </c>
      <c r="AC212" s="24" t="s">
        <v>395</v>
      </c>
      <c r="AD212" s="5" t="s">
        <v>395</v>
      </c>
      <c r="AE212" s="5">
        <f t="shared" si="26"/>
        <v>0.94979999999999998</v>
      </c>
      <c r="AF212" s="35" t="s">
        <v>46</v>
      </c>
      <c r="AG212" s="250" t="s">
        <v>395</v>
      </c>
      <c r="AH212" s="25">
        <f t="shared" si="24"/>
        <v>39.521276595744681</v>
      </c>
      <c r="AI212" s="5" t="s">
        <v>395</v>
      </c>
      <c r="AJ212" s="5" t="s">
        <v>395</v>
      </c>
      <c r="AK212" s="5" t="s">
        <v>395</v>
      </c>
      <c r="AL212" s="5" t="s">
        <v>395</v>
      </c>
      <c r="AM212" s="5" t="s">
        <v>395</v>
      </c>
      <c r="AN212" s="5" t="s">
        <v>395</v>
      </c>
      <c r="AO212" s="5" t="s">
        <v>395</v>
      </c>
      <c r="AP212" s="5" t="s">
        <v>395</v>
      </c>
      <c r="AQ212" s="5" t="s">
        <v>395</v>
      </c>
      <c r="AR212" s="5" t="s">
        <v>395</v>
      </c>
      <c r="AS212" s="5" t="s">
        <v>395</v>
      </c>
      <c r="AT212" s="5" t="s">
        <v>395</v>
      </c>
      <c r="AU212" s="5" t="s">
        <v>395</v>
      </c>
      <c r="AV212" s="5" t="s">
        <v>395</v>
      </c>
      <c r="AW212" s="5" t="s">
        <v>395</v>
      </c>
      <c r="AX212" s="5" t="s">
        <v>395</v>
      </c>
      <c r="AY212" s="5" t="s">
        <v>395</v>
      </c>
      <c r="AZ212" s="5" t="s">
        <v>395</v>
      </c>
      <c r="BA212" s="5" t="s">
        <v>395</v>
      </c>
      <c r="BB212" s="5" t="s">
        <v>395</v>
      </c>
      <c r="BC212" s="94">
        <v>743</v>
      </c>
      <c r="BD212" s="5" t="s">
        <v>395</v>
      </c>
      <c r="BE212" s="5" t="s">
        <v>395</v>
      </c>
      <c r="BF212" s="5" t="s">
        <v>395</v>
      </c>
      <c r="BG212" s="5" t="s">
        <v>395</v>
      </c>
      <c r="BH212" s="5" t="s">
        <v>395</v>
      </c>
      <c r="BI212" s="5" t="s">
        <v>395</v>
      </c>
      <c r="BJ212" s="5" t="s">
        <v>395</v>
      </c>
      <c r="BK212" s="5" t="s">
        <v>395</v>
      </c>
      <c r="BL212" s="5" t="s">
        <v>395</v>
      </c>
      <c r="BM212" s="5" t="s">
        <v>395</v>
      </c>
      <c r="BN212" s="5" t="s">
        <v>395</v>
      </c>
      <c r="BO212" s="5" t="s">
        <v>395</v>
      </c>
      <c r="BP212" s="5" t="s">
        <v>395</v>
      </c>
      <c r="BQ212" s="5" t="s">
        <v>395</v>
      </c>
      <c r="BR212" s="5" t="s">
        <v>395</v>
      </c>
      <c r="BS212" s="5" t="s">
        <v>395</v>
      </c>
      <c r="BT212" s="5" t="s">
        <v>395</v>
      </c>
      <c r="BU212" s="5" t="s">
        <v>395</v>
      </c>
      <c r="BV212" s="5" t="s">
        <v>395</v>
      </c>
      <c r="BW212" s="5" t="s">
        <v>395</v>
      </c>
      <c r="BX212" s="5" t="s">
        <v>395</v>
      </c>
      <c r="BY212" s="5" t="s">
        <v>395</v>
      </c>
      <c r="BZ212" s="5" t="s">
        <v>395</v>
      </c>
      <c r="CA212" s="5" t="s">
        <v>395</v>
      </c>
      <c r="CB212" s="5" t="s">
        <v>395</v>
      </c>
      <c r="CC212" s="5" t="s">
        <v>395</v>
      </c>
      <c r="CD212" s="5" t="s">
        <v>395</v>
      </c>
      <c r="CE212" s="5" t="s">
        <v>395</v>
      </c>
      <c r="CF212" s="5" t="s">
        <v>395</v>
      </c>
      <c r="CG212" s="5" t="s">
        <v>395</v>
      </c>
      <c r="CH212" s="5" t="s">
        <v>395</v>
      </c>
      <c r="CI212" s="5" t="s">
        <v>395</v>
      </c>
      <c r="CJ212" s="5" t="s">
        <v>395</v>
      </c>
      <c r="CK212" s="5" t="s">
        <v>395</v>
      </c>
      <c r="CL212" s="5" t="s">
        <v>395</v>
      </c>
      <c r="CM212" s="5" t="s">
        <v>395</v>
      </c>
      <c r="CN212" s="5" t="s">
        <v>395</v>
      </c>
      <c r="CO212" s="5" t="s">
        <v>395</v>
      </c>
      <c r="CP212" s="5" t="s">
        <v>395</v>
      </c>
      <c r="CQ212" s="5" t="s">
        <v>395</v>
      </c>
      <c r="CR212" s="5" t="s">
        <v>395</v>
      </c>
      <c r="CS212" s="5" t="s">
        <v>395</v>
      </c>
      <c r="CT212" s="5" t="s">
        <v>395</v>
      </c>
      <c r="CU212" s="5" t="s">
        <v>395</v>
      </c>
      <c r="CV212" s="5" t="s">
        <v>395</v>
      </c>
      <c r="CW212" s="5" t="s">
        <v>395</v>
      </c>
      <c r="CX212" s="5" t="s">
        <v>395</v>
      </c>
      <c r="CY212" s="252" t="s">
        <v>395</v>
      </c>
    </row>
    <row r="213" spans="1:104" x14ac:dyDescent="0.3">
      <c r="A213" s="98" t="s">
        <v>112</v>
      </c>
      <c r="B213" s="98" t="s">
        <v>24</v>
      </c>
      <c r="C213" s="132" t="s">
        <v>20</v>
      </c>
      <c r="D213" s="132" t="s">
        <v>125</v>
      </c>
      <c r="E213" s="98"/>
      <c r="F213" s="98"/>
      <c r="G213" s="245">
        <v>40418</v>
      </c>
      <c r="H213" s="1">
        <v>2010</v>
      </c>
      <c r="I213" s="75" t="s">
        <v>3</v>
      </c>
      <c r="J213" s="75" t="s">
        <v>114</v>
      </c>
      <c r="K213" s="155">
        <v>0.38</v>
      </c>
      <c r="L213" s="5" t="s">
        <v>395</v>
      </c>
      <c r="M213" s="35">
        <v>2.2000000000000002</v>
      </c>
      <c r="N213" s="35">
        <v>7.2</v>
      </c>
      <c r="O213" s="35">
        <v>14</v>
      </c>
      <c r="P213" s="35">
        <v>11</v>
      </c>
      <c r="Q213" s="35">
        <v>16</v>
      </c>
      <c r="R213" s="35">
        <v>12</v>
      </c>
      <c r="S213" s="35">
        <v>4.5</v>
      </c>
      <c r="T213" s="5">
        <f t="shared" si="29"/>
        <v>66.900000000000006</v>
      </c>
      <c r="U213" s="5">
        <f t="shared" si="30"/>
        <v>735.52631578947364</v>
      </c>
      <c r="V213" s="35">
        <v>7.4999999999999997E-3</v>
      </c>
      <c r="W213" s="35">
        <v>0.39</v>
      </c>
      <c r="X213" s="35">
        <v>0.1</v>
      </c>
      <c r="Y213" s="35">
        <v>0.17</v>
      </c>
      <c r="Z213" s="5" t="s">
        <v>395</v>
      </c>
      <c r="AA213" s="35">
        <v>0.03</v>
      </c>
      <c r="AB213" s="35">
        <v>1.6E-2</v>
      </c>
      <c r="AC213" s="24" t="s">
        <v>395</v>
      </c>
      <c r="AD213" s="5" t="s">
        <v>395</v>
      </c>
      <c r="AE213" s="5">
        <f t="shared" si="26"/>
        <v>0.71350000000000002</v>
      </c>
      <c r="AF213" s="35">
        <v>0.79</v>
      </c>
      <c r="AG213" s="250" t="s">
        <v>395</v>
      </c>
      <c r="AH213" s="25">
        <f t="shared" si="24"/>
        <v>12.712765957446807</v>
      </c>
      <c r="AI213" s="5" t="s">
        <v>395</v>
      </c>
      <c r="AJ213" s="5" t="s">
        <v>395</v>
      </c>
      <c r="AK213" s="5" t="s">
        <v>395</v>
      </c>
      <c r="AL213" s="5" t="s">
        <v>395</v>
      </c>
      <c r="AM213" s="5" t="s">
        <v>395</v>
      </c>
      <c r="AN213" s="5" t="s">
        <v>395</v>
      </c>
      <c r="AO213" s="5" t="s">
        <v>395</v>
      </c>
      <c r="AP213" s="5" t="s">
        <v>395</v>
      </c>
      <c r="AQ213" s="5" t="s">
        <v>395</v>
      </c>
      <c r="AR213" s="5" t="s">
        <v>395</v>
      </c>
      <c r="AS213" s="5" t="s">
        <v>395</v>
      </c>
      <c r="AT213" s="5" t="s">
        <v>395</v>
      </c>
      <c r="AU213" s="5" t="s">
        <v>395</v>
      </c>
      <c r="AV213" s="5" t="s">
        <v>395</v>
      </c>
      <c r="AW213" s="5" t="s">
        <v>395</v>
      </c>
      <c r="AX213" s="5" t="s">
        <v>395</v>
      </c>
      <c r="AY213" s="5" t="s">
        <v>395</v>
      </c>
      <c r="AZ213" s="5" t="s">
        <v>395</v>
      </c>
      <c r="BA213" s="5" t="s">
        <v>395</v>
      </c>
      <c r="BB213" s="5" t="s">
        <v>395</v>
      </c>
      <c r="BC213" s="94">
        <v>239</v>
      </c>
      <c r="BD213" s="5" t="s">
        <v>395</v>
      </c>
      <c r="BE213" s="5" t="s">
        <v>395</v>
      </c>
      <c r="BF213" s="5" t="s">
        <v>395</v>
      </c>
      <c r="BG213" s="5" t="s">
        <v>395</v>
      </c>
      <c r="BH213" s="5" t="s">
        <v>395</v>
      </c>
      <c r="BI213" s="5" t="s">
        <v>395</v>
      </c>
      <c r="BJ213" s="5" t="s">
        <v>395</v>
      </c>
      <c r="BK213" s="5" t="s">
        <v>395</v>
      </c>
      <c r="BL213" s="5" t="s">
        <v>395</v>
      </c>
      <c r="BM213" s="5" t="s">
        <v>395</v>
      </c>
      <c r="BN213" s="5" t="s">
        <v>395</v>
      </c>
      <c r="BO213" s="5" t="s">
        <v>395</v>
      </c>
      <c r="BP213" s="5" t="s">
        <v>395</v>
      </c>
      <c r="BQ213" s="5" t="s">
        <v>395</v>
      </c>
      <c r="BR213" s="5" t="s">
        <v>395</v>
      </c>
      <c r="BS213" s="5" t="s">
        <v>395</v>
      </c>
      <c r="BT213" s="5" t="s">
        <v>395</v>
      </c>
      <c r="BU213" s="5" t="s">
        <v>395</v>
      </c>
      <c r="BV213" s="5" t="s">
        <v>395</v>
      </c>
      <c r="BW213" s="5" t="s">
        <v>395</v>
      </c>
      <c r="BX213" s="5" t="s">
        <v>395</v>
      </c>
      <c r="BY213" s="5" t="s">
        <v>395</v>
      </c>
      <c r="BZ213" s="5" t="s">
        <v>395</v>
      </c>
      <c r="CA213" s="5" t="s">
        <v>395</v>
      </c>
      <c r="CB213" s="5" t="s">
        <v>395</v>
      </c>
      <c r="CC213" s="5" t="s">
        <v>395</v>
      </c>
      <c r="CD213" s="5" t="s">
        <v>395</v>
      </c>
      <c r="CE213" s="5" t="s">
        <v>395</v>
      </c>
      <c r="CF213" s="5" t="s">
        <v>395</v>
      </c>
      <c r="CG213" s="5" t="s">
        <v>395</v>
      </c>
      <c r="CH213" s="5" t="s">
        <v>395</v>
      </c>
      <c r="CI213" s="5" t="s">
        <v>395</v>
      </c>
      <c r="CJ213" s="5" t="s">
        <v>395</v>
      </c>
      <c r="CK213" s="5" t="s">
        <v>395</v>
      </c>
      <c r="CL213" s="5" t="s">
        <v>395</v>
      </c>
      <c r="CM213" s="5" t="s">
        <v>395</v>
      </c>
      <c r="CN213" s="5" t="s">
        <v>395</v>
      </c>
      <c r="CO213" s="5" t="s">
        <v>395</v>
      </c>
      <c r="CP213" s="5" t="s">
        <v>395</v>
      </c>
      <c r="CQ213" s="5" t="s">
        <v>395</v>
      </c>
      <c r="CR213" s="5" t="s">
        <v>395</v>
      </c>
      <c r="CS213" s="5" t="s">
        <v>395</v>
      </c>
      <c r="CT213" s="5" t="s">
        <v>395</v>
      </c>
      <c r="CU213" s="5" t="s">
        <v>395</v>
      </c>
      <c r="CV213" s="5" t="s">
        <v>395</v>
      </c>
      <c r="CW213" s="5" t="s">
        <v>395</v>
      </c>
      <c r="CX213" s="5" t="s">
        <v>395</v>
      </c>
      <c r="CY213" s="252" t="s">
        <v>395</v>
      </c>
    </row>
    <row r="214" spans="1:104" ht="14.5" thickBot="1" x14ac:dyDescent="0.35">
      <c r="A214" s="39" t="s">
        <v>112</v>
      </c>
      <c r="B214" s="53" t="s">
        <v>24</v>
      </c>
      <c r="C214" s="40" t="s">
        <v>20</v>
      </c>
      <c r="D214" s="40" t="s">
        <v>125</v>
      </c>
      <c r="E214" s="17"/>
      <c r="F214" s="41"/>
      <c r="G214" s="245">
        <v>40418</v>
      </c>
      <c r="H214" s="1">
        <v>2010</v>
      </c>
      <c r="I214" s="75" t="s">
        <v>3</v>
      </c>
      <c r="J214" s="75" t="s">
        <v>114</v>
      </c>
      <c r="K214" s="155">
        <v>0.72</v>
      </c>
      <c r="L214" s="18" t="s">
        <v>395</v>
      </c>
      <c r="M214" s="43">
        <v>6.6</v>
      </c>
      <c r="N214" s="43">
        <v>13</v>
      </c>
      <c r="O214" s="43">
        <v>28</v>
      </c>
      <c r="P214" s="43">
        <v>32</v>
      </c>
      <c r="Q214" s="43">
        <v>56</v>
      </c>
      <c r="R214" s="43">
        <v>45</v>
      </c>
      <c r="S214" s="43">
        <v>14</v>
      </c>
      <c r="T214" s="18">
        <f t="shared" si="29"/>
        <v>194.6</v>
      </c>
      <c r="U214" s="18">
        <f t="shared" si="30"/>
        <v>1129.1666666666667</v>
      </c>
      <c r="V214" s="43">
        <v>1.2999999999999999E-2</v>
      </c>
      <c r="W214" s="43">
        <v>1.3</v>
      </c>
      <c r="X214" s="43">
        <v>0.4</v>
      </c>
      <c r="Y214" s="43">
        <v>0.25</v>
      </c>
      <c r="Z214" s="18" t="s">
        <v>395</v>
      </c>
      <c r="AA214" s="43">
        <v>0.05</v>
      </c>
      <c r="AB214" s="43">
        <v>3.2000000000000001E-2</v>
      </c>
      <c r="AC214" s="44" t="s">
        <v>395</v>
      </c>
      <c r="AD214" s="18" t="s">
        <v>395</v>
      </c>
      <c r="AE214" s="18">
        <f t="shared" si="26"/>
        <v>2.0449999999999999</v>
      </c>
      <c r="AF214" s="43">
        <v>0.79</v>
      </c>
      <c r="AG214" s="256" t="s">
        <v>395</v>
      </c>
      <c r="AH214" s="78">
        <f t="shared" si="24"/>
        <v>8.4574468085106371</v>
      </c>
      <c r="AI214" s="18" t="s">
        <v>395</v>
      </c>
      <c r="AJ214" s="18" t="s">
        <v>395</v>
      </c>
      <c r="AK214" s="18" t="s">
        <v>395</v>
      </c>
      <c r="AL214" s="18" t="s">
        <v>395</v>
      </c>
      <c r="AM214" s="18" t="s">
        <v>395</v>
      </c>
      <c r="AN214" s="18" t="s">
        <v>395</v>
      </c>
      <c r="AO214" s="18" t="s">
        <v>395</v>
      </c>
      <c r="AP214" s="18" t="s">
        <v>395</v>
      </c>
      <c r="AQ214" s="18" t="s">
        <v>395</v>
      </c>
      <c r="AR214" s="18" t="s">
        <v>395</v>
      </c>
      <c r="AS214" s="18" t="s">
        <v>395</v>
      </c>
      <c r="AT214" s="18" t="s">
        <v>395</v>
      </c>
      <c r="AU214" s="18" t="s">
        <v>395</v>
      </c>
      <c r="AV214" s="18" t="s">
        <v>395</v>
      </c>
      <c r="AW214" s="18" t="s">
        <v>395</v>
      </c>
      <c r="AX214" s="18" t="s">
        <v>395</v>
      </c>
      <c r="AY214" s="18" t="s">
        <v>395</v>
      </c>
      <c r="AZ214" s="18" t="s">
        <v>395</v>
      </c>
      <c r="BA214" s="18" t="s">
        <v>395</v>
      </c>
      <c r="BB214" s="18" t="s">
        <v>395</v>
      </c>
      <c r="BC214" s="95">
        <v>159</v>
      </c>
      <c r="BD214" s="18" t="s">
        <v>395</v>
      </c>
      <c r="BE214" s="18" t="s">
        <v>395</v>
      </c>
      <c r="BF214" s="18" t="s">
        <v>395</v>
      </c>
      <c r="BG214" s="18" t="s">
        <v>395</v>
      </c>
      <c r="BH214" s="18" t="s">
        <v>395</v>
      </c>
      <c r="BI214" s="18" t="s">
        <v>395</v>
      </c>
      <c r="BJ214" s="18" t="s">
        <v>395</v>
      </c>
      <c r="BK214" s="18" t="s">
        <v>395</v>
      </c>
      <c r="BL214" s="18" t="s">
        <v>395</v>
      </c>
      <c r="BM214" s="18" t="s">
        <v>395</v>
      </c>
      <c r="BN214" s="18" t="s">
        <v>395</v>
      </c>
      <c r="BO214" s="18" t="s">
        <v>395</v>
      </c>
      <c r="BP214" s="18" t="s">
        <v>395</v>
      </c>
      <c r="BQ214" s="18" t="s">
        <v>395</v>
      </c>
      <c r="BR214" s="18" t="s">
        <v>395</v>
      </c>
      <c r="BS214" s="18" t="s">
        <v>395</v>
      </c>
      <c r="BT214" s="18" t="s">
        <v>395</v>
      </c>
      <c r="BU214" s="18" t="s">
        <v>395</v>
      </c>
      <c r="BV214" s="18" t="s">
        <v>395</v>
      </c>
      <c r="BW214" s="18" t="s">
        <v>395</v>
      </c>
      <c r="BX214" s="18" t="s">
        <v>395</v>
      </c>
      <c r="BY214" s="18" t="s">
        <v>395</v>
      </c>
      <c r="BZ214" s="18" t="s">
        <v>395</v>
      </c>
      <c r="CA214" s="18" t="s">
        <v>395</v>
      </c>
      <c r="CB214" s="18" t="s">
        <v>395</v>
      </c>
      <c r="CC214" s="18" t="s">
        <v>395</v>
      </c>
      <c r="CD214" s="18" t="s">
        <v>395</v>
      </c>
      <c r="CE214" s="18" t="s">
        <v>395</v>
      </c>
      <c r="CF214" s="18" t="s">
        <v>395</v>
      </c>
      <c r="CG214" s="18" t="s">
        <v>395</v>
      </c>
      <c r="CH214" s="18" t="s">
        <v>395</v>
      </c>
      <c r="CI214" s="18" t="s">
        <v>395</v>
      </c>
      <c r="CJ214" s="18" t="s">
        <v>395</v>
      </c>
      <c r="CK214" s="18" t="s">
        <v>395</v>
      </c>
      <c r="CL214" s="18" t="s">
        <v>395</v>
      </c>
      <c r="CM214" s="18" t="s">
        <v>395</v>
      </c>
      <c r="CN214" s="18" t="s">
        <v>395</v>
      </c>
      <c r="CO214" s="18" t="s">
        <v>395</v>
      </c>
      <c r="CP214" s="18" t="s">
        <v>395</v>
      </c>
      <c r="CQ214" s="18" t="s">
        <v>395</v>
      </c>
      <c r="CR214" s="18" t="s">
        <v>395</v>
      </c>
      <c r="CS214" s="18" t="s">
        <v>395</v>
      </c>
      <c r="CT214" s="18" t="s">
        <v>395</v>
      </c>
      <c r="CU214" s="18" t="s">
        <v>395</v>
      </c>
      <c r="CV214" s="18" t="s">
        <v>395</v>
      </c>
      <c r="CW214" s="18" t="s">
        <v>395</v>
      </c>
      <c r="CX214" s="18" t="s">
        <v>395</v>
      </c>
      <c r="CY214" s="257" t="s">
        <v>395</v>
      </c>
    </row>
    <row r="215" spans="1:104" x14ac:dyDescent="0.3">
      <c r="B215" s="45"/>
      <c r="C215" s="45"/>
      <c r="D215" s="45"/>
      <c r="E215" s="46"/>
      <c r="F215" s="36"/>
      <c r="G215" s="47"/>
      <c r="H215" s="35"/>
      <c r="I215" s="191"/>
      <c r="J215" s="191"/>
      <c r="K215" s="12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D215" s="35"/>
      <c r="AF215" s="35"/>
      <c r="AH215" s="36"/>
      <c r="AL215" s="35"/>
      <c r="AM215" s="3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252"/>
    </row>
    <row r="216" spans="1:104" x14ac:dyDescent="0.3">
      <c r="B216" s="45"/>
      <c r="C216" s="45"/>
      <c r="D216" s="45"/>
      <c r="E216" s="46"/>
      <c r="F216" s="36"/>
      <c r="G216" s="47"/>
      <c r="H216" s="35"/>
      <c r="I216" s="191"/>
      <c r="J216" s="191"/>
      <c r="K216" s="12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D216" s="35"/>
      <c r="AF216" s="35"/>
      <c r="AH216" s="36"/>
      <c r="AL216" s="35"/>
      <c r="AM216" s="3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252"/>
    </row>
    <row r="217" spans="1:104" x14ac:dyDescent="0.3">
      <c r="B217" s="52"/>
      <c r="C217" s="52"/>
      <c r="D217" s="52"/>
      <c r="E217" s="96"/>
      <c r="F217" s="33"/>
      <c r="G217" s="47"/>
      <c r="H217" s="34"/>
      <c r="I217" s="47"/>
      <c r="J217" s="47"/>
      <c r="K217" s="12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D217" s="35"/>
      <c r="AF217" s="35"/>
      <c r="AH217" s="36"/>
      <c r="AL217" s="35"/>
      <c r="AM217" s="3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252"/>
    </row>
    <row r="218" spans="1:104" x14ac:dyDescent="0.3">
      <c r="B218" s="52"/>
      <c r="C218" s="52"/>
      <c r="D218" s="52"/>
      <c r="E218" s="96"/>
      <c r="F218" s="33"/>
      <c r="G218" s="47"/>
      <c r="H218" s="34"/>
      <c r="I218" s="47"/>
      <c r="J218" s="47"/>
      <c r="K218" s="12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D218" s="35"/>
      <c r="AF218" s="35"/>
      <c r="AH218" s="36"/>
      <c r="AL218" s="35"/>
      <c r="AM218" s="3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252"/>
    </row>
    <row r="219" spans="1:104" x14ac:dyDescent="0.3">
      <c r="B219" s="52"/>
      <c r="C219" s="52"/>
      <c r="D219" s="52"/>
      <c r="E219" s="96"/>
      <c r="F219" s="33"/>
      <c r="G219" s="47"/>
      <c r="H219" s="34"/>
      <c r="I219" s="47"/>
      <c r="J219" s="47"/>
      <c r="K219" s="12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D219" s="35"/>
      <c r="AH219" s="36"/>
      <c r="AL219" s="35"/>
      <c r="AM219" s="3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252"/>
    </row>
    <row r="220" spans="1:104" x14ac:dyDescent="0.3">
      <c r="B220" s="52"/>
      <c r="C220" s="52"/>
      <c r="D220" s="52"/>
      <c r="E220" s="96"/>
      <c r="F220" s="33"/>
      <c r="G220" s="47"/>
      <c r="H220" s="34"/>
      <c r="I220" s="192"/>
      <c r="J220" s="192"/>
      <c r="K220" s="12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D220" s="35"/>
      <c r="AG220" s="36"/>
      <c r="AH220" s="36"/>
      <c r="AL220" s="35"/>
      <c r="AM220" s="3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252"/>
    </row>
    <row r="221" spans="1:104" x14ac:dyDescent="0.3">
      <c r="B221" s="52"/>
      <c r="C221" s="52"/>
      <c r="D221" s="52"/>
      <c r="E221" s="96"/>
      <c r="F221" s="33"/>
      <c r="G221" s="47"/>
      <c r="H221" s="34"/>
      <c r="I221" s="192"/>
      <c r="J221" s="192"/>
      <c r="K221" s="12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D221" s="35"/>
      <c r="AG221" s="36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252"/>
    </row>
    <row r="222" spans="1:104" x14ac:dyDescent="0.3">
      <c r="B222" s="52"/>
      <c r="C222" s="52"/>
      <c r="D222" s="52"/>
      <c r="E222" s="96"/>
      <c r="F222" s="33"/>
      <c r="G222" s="47"/>
      <c r="H222" s="34"/>
      <c r="I222" s="192"/>
      <c r="J222" s="192"/>
      <c r="K222" s="12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D222" s="35"/>
      <c r="AG222" s="36"/>
      <c r="AH222" s="36"/>
      <c r="AL222" s="35"/>
      <c r="AM222" s="3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252"/>
    </row>
    <row r="223" spans="1:104" x14ac:dyDescent="0.3">
      <c r="B223" s="52"/>
      <c r="C223" s="52"/>
      <c r="D223" s="52"/>
      <c r="E223" s="96"/>
      <c r="F223" s="33"/>
      <c r="G223" s="47"/>
      <c r="H223" s="34"/>
      <c r="I223" s="192"/>
      <c r="J223" s="192"/>
      <c r="K223" s="12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D223" s="35"/>
      <c r="AG223" s="36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16"/>
      <c r="BD223" s="16"/>
      <c r="BE223" s="16"/>
      <c r="BF223" s="16"/>
      <c r="BG223" s="16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252"/>
      <c r="CZ223" s="5"/>
    </row>
    <row r="224" spans="1:104" x14ac:dyDescent="0.3">
      <c r="B224" s="52"/>
      <c r="C224" s="52"/>
      <c r="D224" s="52"/>
      <c r="E224" s="96"/>
      <c r="F224" s="33"/>
      <c r="G224" s="47"/>
      <c r="H224" s="34"/>
      <c r="I224" s="192"/>
      <c r="J224" s="192"/>
      <c r="K224" s="12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D224" s="35"/>
      <c r="AG224" s="36"/>
      <c r="AH224" s="258"/>
      <c r="AI224" s="258"/>
      <c r="AJ224" s="258"/>
      <c r="AK224" s="258"/>
      <c r="AL224" s="258"/>
      <c r="AM224" s="258"/>
      <c r="AN224" s="258"/>
      <c r="AO224" s="258"/>
      <c r="AP224" s="258"/>
      <c r="AQ224" s="258"/>
      <c r="AR224" s="258"/>
      <c r="AS224" s="258"/>
      <c r="AT224" s="258"/>
      <c r="AU224" s="258"/>
      <c r="AV224" s="258"/>
      <c r="AW224" s="258"/>
      <c r="AX224" s="258"/>
      <c r="AY224" s="258"/>
      <c r="AZ224" s="258"/>
      <c r="BA224" s="258"/>
      <c r="BB224" s="258"/>
      <c r="BC224" s="16"/>
      <c r="BD224" s="16"/>
      <c r="BE224" s="16"/>
      <c r="BF224" s="16"/>
      <c r="BG224" s="16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252"/>
      <c r="CZ224" s="5"/>
    </row>
    <row r="225" spans="2:104" x14ac:dyDescent="0.3">
      <c r="B225" s="52"/>
      <c r="C225" s="52"/>
      <c r="D225" s="52"/>
      <c r="E225" s="96"/>
      <c r="F225" s="33"/>
      <c r="G225" s="90"/>
      <c r="H225" s="34"/>
      <c r="I225" s="192"/>
      <c r="J225" s="192"/>
      <c r="K225" s="12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D225" s="35"/>
      <c r="AG225" s="83"/>
      <c r="AH225" s="56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16"/>
      <c r="BD225" s="16"/>
      <c r="BE225" s="16"/>
      <c r="BF225" s="16"/>
      <c r="BG225" s="16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252"/>
      <c r="CZ225" s="5"/>
    </row>
    <row r="226" spans="2:104" x14ac:dyDescent="0.3">
      <c r="B226" s="52"/>
      <c r="C226" s="52"/>
      <c r="D226" s="52"/>
      <c r="E226" s="96"/>
      <c r="F226" s="33"/>
      <c r="G226" s="90"/>
      <c r="H226" s="34"/>
      <c r="K226" s="12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D226" s="35"/>
      <c r="AG226" s="83"/>
      <c r="AH226" s="92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16"/>
      <c r="BD226" s="16"/>
      <c r="BE226" s="16"/>
      <c r="BF226" s="16"/>
      <c r="BG226" s="16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252"/>
      <c r="CZ226" s="5"/>
    </row>
    <row r="227" spans="2:104" x14ac:dyDescent="0.3">
      <c r="B227" s="52"/>
      <c r="C227" s="52"/>
      <c r="D227" s="52"/>
      <c r="E227" s="96"/>
      <c r="F227" s="33"/>
      <c r="G227" s="90"/>
      <c r="H227" s="34"/>
      <c r="K227" s="12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D227" s="35"/>
      <c r="AG227" s="83"/>
      <c r="AH227" s="92"/>
      <c r="AI227" s="91"/>
      <c r="AJ227" s="91"/>
      <c r="AK227" s="91"/>
      <c r="AL227" s="91"/>
      <c r="AM227" s="91"/>
      <c r="AN227" s="56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16"/>
      <c r="BD227" s="16"/>
      <c r="BE227" s="16"/>
      <c r="BF227" s="16"/>
      <c r="BG227" s="16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252"/>
      <c r="CZ227" s="5"/>
    </row>
    <row r="228" spans="2:104" x14ac:dyDescent="0.3">
      <c r="B228" s="52"/>
      <c r="C228" s="52"/>
      <c r="D228" s="52"/>
      <c r="E228" s="96"/>
      <c r="F228" s="33"/>
      <c r="G228" s="90"/>
      <c r="H228" s="34"/>
      <c r="I228" s="192"/>
      <c r="J228" s="192"/>
      <c r="K228" s="12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D228" s="35"/>
      <c r="AG228" s="83"/>
      <c r="AH228" s="92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16"/>
      <c r="BD228" s="16"/>
      <c r="BE228" s="16"/>
      <c r="BF228" s="16"/>
      <c r="BG228" s="16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252"/>
      <c r="CZ228" s="5"/>
    </row>
    <row r="229" spans="2:104" x14ac:dyDescent="0.3">
      <c r="B229" s="52"/>
      <c r="C229" s="52"/>
      <c r="D229" s="52"/>
      <c r="E229" s="96"/>
      <c r="F229" s="33"/>
      <c r="G229" s="47"/>
      <c r="H229" s="34"/>
      <c r="I229" s="192"/>
      <c r="J229" s="192"/>
      <c r="K229" s="12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D229" s="35"/>
      <c r="AG229" s="83"/>
      <c r="AH229" s="92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16"/>
      <c r="BD229" s="16"/>
      <c r="BE229" s="16"/>
      <c r="BF229" s="16"/>
      <c r="BG229" s="16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252"/>
      <c r="CZ229" s="5"/>
    </row>
    <row r="230" spans="2:104" x14ac:dyDescent="0.3">
      <c r="B230" s="52"/>
      <c r="C230" s="52"/>
      <c r="D230" s="52"/>
      <c r="E230" s="96"/>
      <c r="F230" s="33"/>
      <c r="G230" s="90"/>
      <c r="H230" s="34"/>
      <c r="I230" s="192"/>
      <c r="J230" s="192"/>
      <c r="K230" s="12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D230" s="35"/>
      <c r="AG230" s="83"/>
      <c r="AH230" s="92"/>
      <c r="AI230" s="91"/>
      <c r="AJ230" s="91"/>
      <c r="AK230" s="91"/>
      <c r="AL230" s="91"/>
      <c r="AM230" s="91"/>
      <c r="AN230" s="56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16"/>
      <c r="BD230" s="16"/>
      <c r="BE230" s="16"/>
      <c r="BF230" s="16"/>
      <c r="BG230" s="16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252"/>
      <c r="CZ230" s="5"/>
    </row>
    <row r="231" spans="2:104" x14ac:dyDescent="0.3">
      <c r="B231" s="52"/>
      <c r="C231" s="52"/>
      <c r="D231" s="52"/>
      <c r="E231" s="96"/>
      <c r="F231" s="33"/>
      <c r="G231" s="90"/>
      <c r="H231" s="34"/>
      <c r="I231" s="192"/>
      <c r="J231" s="192"/>
      <c r="K231" s="12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D231" s="35"/>
      <c r="AG231" s="83"/>
      <c r="AH231" s="92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16"/>
      <c r="BD231" s="16"/>
      <c r="BE231" s="16"/>
      <c r="BF231" s="16"/>
      <c r="BG231" s="16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252"/>
      <c r="CZ231" s="5"/>
    </row>
    <row r="232" spans="2:104" x14ac:dyDescent="0.3">
      <c r="B232" s="52"/>
      <c r="C232" s="52"/>
      <c r="D232" s="52"/>
      <c r="E232" s="96"/>
      <c r="F232" s="33"/>
      <c r="G232" s="90"/>
      <c r="H232" s="34"/>
      <c r="I232" s="192"/>
      <c r="J232" s="192"/>
      <c r="K232" s="12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D232" s="35"/>
      <c r="AG232" s="83"/>
      <c r="AH232" s="92"/>
      <c r="AI232" s="91"/>
      <c r="AJ232" s="91"/>
      <c r="AK232" s="91"/>
      <c r="AL232" s="91"/>
      <c r="AM232" s="91"/>
      <c r="AN232" s="56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16"/>
      <c r="BD232" s="16"/>
      <c r="BE232" s="16"/>
      <c r="BF232" s="16"/>
      <c r="BG232" s="16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252"/>
      <c r="CZ232" s="5"/>
    </row>
    <row r="233" spans="2:104" x14ac:dyDescent="0.3">
      <c r="B233" s="52"/>
      <c r="C233" s="52"/>
      <c r="D233" s="52"/>
      <c r="E233" s="96"/>
      <c r="F233" s="33"/>
      <c r="G233" s="90"/>
      <c r="H233" s="34"/>
      <c r="I233" s="192"/>
      <c r="J233" s="192"/>
      <c r="K233" s="12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D233" s="35"/>
      <c r="AG233" s="83"/>
      <c r="AH233" s="92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16"/>
      <c r="BD233" s="16"/>
      <c r="BE233" s="16"/>
      <c r="BF233" s="16"/>
      <c r="BG233" s="16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252"/>
      <c r="CZ233" s="5"/>
    </row>
    <row r="234" spans="2:104" x14ac:dyDescent="0.3">
      <c r="B234" s="52"/>
      <c r="C234" s="52"/>
      <c r="D234" s="52"/>
      <c r="E234" s="96"/>
      <c r="F234" s="33"/>
      <c r="G234" s="47"/>
      <c r="H234" s="34"/>
      <c r="I234" s="192"/>
      <c r="J234" s="192"/>
      <c r="K234" s="12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D234" s="35"/>
      <c r="AG234" s="83"/>
      <c r="AH234" s="92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16"/>
      <c r="BD234" s="16"/>
      <c r="BE234" s="16"/>
      <c r="BF234" s="16"/>
      <c r="BG234" s="16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252"/>
      <c r="CZ234" s="5"/>
    </row>
    <row r="235" spans="2:104" x14ac:dyDescent="0.3">
      <c r="B235" s="52"/>
      <c r="C235" s="52"/>
      <c r="D235" s="52"/>
      <c r="E235" s="96"/>
      <c r="F235" s="33"/>
      <c r="H235" s="34"/>
      <c r="I235" s="96"/>
      <c r="J235" s="96"/>
      <c r="K235" s="12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D235" s="35"/>
      <c r="AG235" s="83"/>
      <c r="AH235" s="92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56"/>
      <c r="AT235" s="91"/>
      <c r="AU235" s="91"/>
      <c r="AV235" s="91"/>
      <c r="AW235" s="91"/>
      <c r="AX235" s="91"/>
      <c r="AY235" s="91"/>
      <c r="AZ235" s="91"/>
      <c r="BA235" s="91"/>
      <c r="BB235" s="91"/>
      <c r="BC235" s="16"/>
      <c r="BD235" s="16"/>
      <c r="BE235" s="16"/>
      <c r="BF235" s="16"/>
      <c r="BG235" s="16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252"/>
      <c r="CZ235" s="5"/>
    </row>
    <row r="236" spans="2:104" x14ac:dyDescent="0.3">
      <c r="B236" s="52"/>
      <c r="C236" s="52"/>
      <c r="D236" s="52"/>
      <c r="E236" s="96"/>
      <c r="F236" s="33"/>
      <c r="G236" s="90"/>
      <c r="H236" s="34"/>
      <c r="I236" s="192"/>
      <c r="J236" s="192"/>
      <c r="K236" s="12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D236" s="35"/>
      <c r="AG236" s="83"/>
      <c r="AH236" s="92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16"/>
      <c r="BD236" s="16"/>
      <c r="BE236" s="16"/>
      <c r="BF236" s="16"/>
      <c r="BG236" s="16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252"/>
      <c r="CZ236" s="5"/>
    </row>
    <row r="237" spans="2:104" x14ac:dyDescent="0.3">
      <c r="B237" s="52"/>
      <c r="C237" s="52"/>
      <c r="D237" s="52"/>
      <c r="E237" s="96"/>
      <c r="F237" s="33"/>
      <c r="G237" s="90"/>
      <c r="H237" s="34"/>
      <c r="I237" s="192"/>
      <c r="J237" s="192"/>
      <c r="K237" s="12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D237" s="35"/>
      <c r="AG237" s="83"/>
      <c r="AH237" s="56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16"/>
      <c r="BD237" s="16"/>
      <c r="BE237" s="16"/>
      <c r="BF237" s="16"/>
      <c r="BG237" s="16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252"/>
      <c r="CZ237" s="5"/>
    </row>
    <row r="238" spans="2:104" x14ac:dyDescent="0.3">
      <c r="B238" s="52"/>
      <c r="C238" s="52"/>
      <c r="D238" s="52"/>
      <c r="E238" s="96"/>
      <c r="F238" s="33"/>
      <c r="G238" s="90"/>
      <c r="H238" s="34"/>
      <c r="I238" s="192"/>
      <c r="J238" s="192"/>
      <c r="K238" s="12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D238" s="35"/>
      <c r="AG238" s="83"/>
      <c r="AH238" s="92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16"/>
      <c r="BD238" s="16"/>
      <c r="BE238" s="16"/>
      <c r="BF238" s="16"/>
      <c r="BG238" s="16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252"/>
      <c r="CZ238" s="5"/>
    </row>
    <row r="239" spans="2:104" x14ac:dyDescent="0.3">
      <c r="B239" s="52"/>
      <c r="C239" s="52"/>
      <c r="D239" s="52"/>
      <c r="E239" s="96"/>
      <c r="F239" s="33"/>
      <c r="G239" s="90"/>
      <c r="H239" s="34"/>
      <c r="I239" s="192"/>
      <c r="J239" s="192"/>
      <c r="K239" s="12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D239" s="35"/>
      <c r="AG239" s="83"/>
      <c r="AH239" s="92"/>
      <c r="AI239" s="91"/>
      <c r="AJ239" s="91"/>
      <c r="AK239" s="91"/>
      <c r="AL239" s="91"/>
      <c r="AM239" s="91"/>
      <c r="AN239" s="56"/>
      <c r="AO239" s="91"/>
      <c r="AP239" s="91"/>
      <c r="AQ239" s="56"/>
      <c r="AR239" s="91"/>
      <c r="AS239" s="56"/>
      <c r="AT239" s="56"/>
      <c r="AU239" s="56"/>
      <c r="AV239" s="91"/>
      <c r="AW239" s="91"/>
      <c r="AX239" s="91"/>
      <c r="AY239" s="91"/>
      <c r="AZ239" s="91"/>
      <c r="BA239" s="91"/>
      <c r="BB239" s="91"/>
      <c r="BC239" s="16"/>
      <c r="BD239" s="16"/>
      <c r="BE239" s="16"/>
      <c r="BF239" s="16"/>
      <c r="BG239" s="16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252"/>
      <c r="CZ239" s="5"/>
    </row>
    <row r="240" spans="2:104" x14ac:dyDescent="0.3">
      <c r="B240" s="52"/>
      <c r="C240" s="52"/>
      <c r="D240" s="52"/>
      <c r="E240" s="96"/>
      <c r="F240" s="33"/>
      <c r="G240" s="90"/>
      <c r="H240" s="34"/>
      <c r="I240" s="192"/>
      <c r="J240" s="192"/>
      <c r="K240" s="12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D240" s="35"/>
      <c r="AG240" s="36"/>
      <c r="AH240" s="36"/>
      <c r="AL240" s="35"/>
      <c r="AM240" s="3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252"/>
    </row>
    <row r="241" spans="2:103" x14ac:dyDescent="0.3">
      <c r="B241" s="52"/>
      <c r="C241" s="52"/>
      <c r="D241" s="52"/>
      <c r="E241" s="96"/>
      <c r="F241" s="33"/>
      <c r="G241" s="47"/>
      <c r="H241" s="34"/>
      <c r="I241" s="192"/>
      <c r="J241" s="192"/>
      <c r="K241" s="12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D241" s="35"/>
      <c r="AG241" s="36"/>
      <c r="AH241" s="36"/>
      <c r="AL241" s="35"/>
      <c r="AM241" s="3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252"/>
    </row>
    <row r="242" spans="2:103" x14ac:dyDescent="0.3">
      <c r="B242" s="52"/>
      <c r="C242" s="52"/>
      <c r="D242" s="52"/>
      <c r="E242" s="96"/>
      <c r="F242" s="33"/>
      <c r="G242" s="90"/>
      <c r="H242" s="34"/>
      <c r="I242" s="192"/>
      <c r="J242" s="192"/>
      <c r="K242" s="12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D242" s="35"/>
      <c r="AG242" s="36"/>
      <c r="AH242" s="36"/>
      <c r="AL242" s="35"/>
      <c r="AM242" s="3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252"/>
    </row>
    <row r="243" spans="2:103" x14ac:dyDescent="0.3">
      <c r="B243" s="52"/>
      <c r="C243" s="52"/>
      <c r="D243" s="52"/>
      <c r="E243" s="96"/>
      <c r="F243" s="33"/>
      <c r="G243" s="90"/>
      <c r="H243" s="34"/>
      <c r="I243" s="192"/>
      <c r="J243" s="192"/>
      <c r="K243" s="12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D243" s="35"/>
      <c r="AG243" s="36"/>
      <c r="AH243" s="36"/>
      <c r="AL243" s="35"/>
      <c r="AM243" s="3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252"/>
    </row>
    <row r="244" spans="2:103" x14ac:dyDescent="0.3">
      <c r="F244" s="33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252"/>
    </row>
    <row r="245" spans="2:103" x14ac:dyDescent="0.3">
      <c r="F245" s="33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252"/>
    </row>
    <row r="246" spans="2:103" x14ac:dyDescent="0.3">
      <c r="F246" s="33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252"/>
    </row>
    <row r="247" spans="2:103" x14ac:dyDescent="0.3">
      <c r="F247" s="33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252"/>
    </row>
    <row r="248" spans="2:103" x14ac:dyDescent="0.3">
      <c r="F248" s="33"/>
      <c r="BI248" s="7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252"/>
    </row>
    <row r="249" spans="2:103" x14ac:dyDescent="0.3">
      <c r="F249" s="33"/>
      <c r="BI249" s="7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252"/>
    </row>
    <row r="250" spans="2:103" x14ac:dyDescent="0.3">
      <c r="F250" s="33"/>
      <c r="BI250" s="7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252"/>
    </row>
    <row r="251" spans="2:103" x14ac:dyDescent="0.3">
      <c r="F251" s="33"/>
      <c r="BI251" s="7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252"/>
    </row>
    <row r="252" spans="2:103" x14ac:dyDescent="0.3">
      <c r="F252" s="33"/>
      <c r="BI252" s="7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252"/>
    </row>
    <row r="253" spans="2:103" x14ac:dyDescent="0.3">
      <c r="F253" s="33"/>
      <c r="BI253" s="7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252"/>
    </row>
    <row r="254" spans="2:103" x14ac:dyDescent="0.3">
      <c r="F254" s="33"/>
      <c r="BI254" s="7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252"/>
    </row>
    <row r="255" spans="2:103" x14ac:dyDescent="0.3">
      <c r="F255" s="33"/>
      <c r="BI255" s="7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252"/>
    </row>
    <row r="256" spans="2:103" x14ac:dyDescent="0.3">
      <c r="F256" s="33"/>
      <c r="BI256" s="7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252"/>
    </row>
    <row r="257" spans="6:103" x14ac:dyDescent="0.3">
      <c r="F257" s="33"/>
      <c r="BI257" s="7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252"/>
    </row>
    <row r="258" spans="6:103" x14ac:dyDescent="0.3">
      <c r="F258" s="33"/>
      <c r="BI258" s="7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252"/>
    </row>
    <row r="259" spans="6:103" x14ac:dyDescent="0.3">
      <c r="F259" s="33"/>
      <c r="BI259" s="75"/>
    </row>
    <row r="260" spans="6:103" x14ac:dyDescent="0.3">
      <c r="F260" s="33"/>
      <c r="BI260" s="75"/>
    </row>
    <row r="261" spans="6:103" x14ac:dyDescent="0.3">
      <c r="F261" s="33"/>
    </row>
    <row r="262" spans="6:103" x14ac:dyDescent="0.3">
      <c r="F262" s="33"/>
    </row>
    <row r="263" spans="6:103" x14ac:dyDescent="0.3">
      <c r="F263" s="33"/>
    </row>
    <row r="264" spans="6:103" x14ac:dyDescent="0.3">
      <c r="F264" s="33"/>
    </row>
    <row r="265" spans="6:103" x14ac:dyDescent="0.3">
      <c r="F265" s="33"/>
    </row>
    <row r="266" spans="6:103" x14ac:dyDescent="0.3">
      <c r="F266" s="33"/>
    </row>
    <row r="267" spans="6:103" x14ac:dyDescent="0.3">
      <c r="F267" s="33"/>
    </row>
    <row r="268" spans="6:103" x14ac:dyDescent="0.3">
      <c r="F268" s="33"/>
    </row>
    <row r="269" spans="6:103" x14ac:dyDescent="0.3">
      <c r="F269" s="33"/>
    </row>
    <row r="270" spans="6:103" x14ac:dyDescent="0.3">
      <c r="F270" s="33"/>
    </row>
    <row r="271" spans="6:103" x14ac:dyDescent="0.3">
      <c r="F271" s="33"/>
    </row>
    <row r="272" spans="6:103" x14ac:dyDescent="0.3">
      <c r="F272" s="33"/>
    </row>
    <row r="273" spans="6:6" x14ac:dyDescent="0.3">
      <c r="F273" s="33"/>
    </row>
    <row r="274" spans="6:6" x14ac:dyDescent="0.3">
      <c r="F274" s="33"/>
    </row>
    <row r="275" spans="6:6" x14ac:dyDescent="0.3">
      <c r="F275" s="33"/>
    </row>
    <row r="276" spans="6:6" x14ac:dyDescent="0.3">
      <c r="F276" s="33"/>
    </row>
    <row r="277" spans="6:6" x14ac:dyDescent="0.3">
      <c r="F277" s="33"/>
    </row>
    <row r="278" spans="6:6" x14ac:dyDescent="0.3">
      <c r="F278" s="33"/>
    </row>
    <row r="279" spans="6:6" x14ac:dyDescent="0.3">
      <c r="F279" s="33"/>
    </row>
    <row r="280" spans="6:6" x14ac:dyDescent="0.3">
      <c r="F280" s="33"/>
    </row>
    <row r="281" spans="6:6" x14ac:dyDescent="0.3">
      <c r="F281" s="33"/>
    </row>
    <row r="282" spans="6:6" x14ac:dyDescent="0.3">
      <c r="F282" s="33"/>
    </row>
    <row r="283" spans="6:6" x14ac:dyDescent="0.3">
      <c r="F283" s="33"/>
    </row>
    <row r="284" spans="6:6" x14ac:dyDescent="0.3">
      <c r="F284" s="33"/>
    </row>
    <row r="285" spans="6:6" x14ac:dyDescent="0.3">
      <c r="F285" s="33"/>
    </row>
    <row r="286" spans="6:6" x14ac:dyDescent="0.3">
      <c r="F286" s="33"/>
    </row>
    <row r="287" spans="6:6" x14ac:dyDescent="0.3">
      <c r="F287" s="33"/>
    </row>
    <row r="288" spans="6:6" x14ac:dyDescent="0.3">
      <c r="F288" s="33"/>
    </row>
    <row r="289" spans="6:6" x14ac:dyDescent="0.3">
      <c r="F289" s="33"/>
    </row>
    <row r="290" spans="6:6" x14ac:dyDescent="0.3">
      <c r="F290" s="33"/>
    </row>
    <row r="291" spans="6:6" x14ac:dyDescent="0.3">
      <c r="F291" s="33"/>
    </row>
    <row r="292" spans="6:6" x14ac:dyDescent="0.3">
      <c r="F292" s="33"/>
    </row>
    <row r="293" spans="6:6" x14ac:dyDescent="0.3">
      <c r="F293" s="33"/>
    </row>
    <row r="294" spans="6:6" x14ac:dyDescent="0.3">
      <c r="F294" s="33"/>
    </row>
    <row r="295" spans="6:6" x14ac:dyDescent="0.3">
      <c r="F295" s="33"/>
    </row>
    <row r="296" spans="6:6" x14ac:dyDescent="0.3">
      <c r="F296" s="33"/>
    </row>
    <row r="297" spans="6:6" x14ac:dyDescent="0.3">
      <c r="F297" s="33"/>
    </row>
    <row r="298" spans="6:6" x14ac:dyDescent="0.3">
      <c r="F298" s="33"/>
    </row>
    <row r="299" spans="6:6" x14ac:dyDescent="0.3">
      <c r="F299" s="33"/>
    </row>
    <row r="300" spans="6:6" x14ac:dyDescent="0.3">
      <c r="F300" s="33"/>
    </row>
    <row r="301" spans="6:6" x14ac:dyDescent="0.3">
      <c r="F301" s="33"/>
    </row>
    <row r="302" spans="6:6" x14ac:dyDescent="0.3">
      <c r="F302" s="33"/>
    </row>
    <row r="303" spans="6:6" x14ac:dyDescent="0.3">
      <c r="F303" s="33"/>
    </row>
    <row r="304" spans="6:6" x14ac:dyDescent="0.3">
      <c r="F304" s="33"/>
    </row>
    <row r="305" spans="6:6" x14ac:dyDescent="0.3">
      <c r="F305" s="33"/>
    </row>
    <row r="306" spans="6:6" x14ac:dyDescent="0.3">
      <c r="F306" s="33"/>
    </row>
    <row r="307" spans="6:6" x14ac:dyDescent="0.3">
      <c r="F307" s="33"/>
    </row>
    <row r="308" spans="6:6" x14ac:dyDescent="0.3">
      <c r="F308" s="33"/>
    </row>
    <row r="309" spans="6:6" x14ac:dyDescent="0.3">
      <c r="F309" s="33"/>
    </row>
    <row r="310" spans="6:6" x14ac:dyDescent="0.3">
      <c r="F310" s="33"/>
    </row>
    <row r="311" spans="6:6" x14ac:dyDescent="0.3">
      <c r="F311" s="33"/>
    </row>
    <row r="312" spans="6:6" x14ac:dyDescent="0.3">
      <c r="F312" s="33"/>
    </row>
    <row r="313" spans="6:6" x14ac:dyDescent="0.3">
      <c r="F313" s="33"/>
    </row>
    <row r="314" spans="6:6" x14ac:dyDescent="0.3">
      <c r="F314" s="33"/>
    </row>
    <row r="315" spans="6:6" x14ac:dyDescent="0.3">
      <c r="F315" s="33"/>
    </row>
    <row r="316" spans="6:6" x14ac:dyDescent="0.3">
      <c r="F316" s="33"/>
    </row>
    <row r="317" spans="6:6" x14ac:dyDescent="0.3">
      <c r="F317" s="33"/>
    </row>
    <row r="318" spans="6:6" x14ac:dyDescent="0.3">
      <c r="F318" s="33"/>
    </row>
    <row r="319" spans="6:6" x14ac:dyDescent="0.3">
      <c r="F319" s="33"/>
    </row>
    <row r="320" spans="6:6" x14ac:dyDescent="0.3">
      <c r="F320" s="33"/>
    </row>
    <row r="321" spans="6:6" x14ac:dyDescent="0.3">
      <c r="F321" s="33"/>
    </row>
    <row r="322" spans="6:6" x14ac:dyDescent="0.3">
      <c r="F322" s="33"/>
    </row>
    <row r="323" spans="6:6" x14ac:dyDescent="0.3">
      <c r="F323" s="33"/>
    </row>
    <row r="324" spans="6:6" x14ac:dyDescent="0.3">
      <c r="F324" s="33"/>
    </row>
    <row r="325" spans="6:6" x14ac:dyDescent="0.3">
      <c r="F325" s="33"/>
    </row>
    <row r="326" spans="6:6" x14ac:dyDescent="0.3">
      <c r="F326" s="33"/>
    </row>
    <row r="327" spans="6:6" x14ac:dyDescent="0.3">
      <c r="F327" s="33"/>
    </row>
    <row r="328" spans="6:6" x14ac:dyDescent="0.3">
      <c r="F328" s="33"/>
    </row>
    <row r="329" spans="6:6" x14ac:dyDescent="0.3">
      <c r="F329" s="33"/>
    </row>
    <row r="330" spans="6:6" x14ac:dyDescent="0.3">
      <c r="F330" s="33"/>
    </row>
    <row r="331" spans="6:6" x14ac:dyDescent="0.3">
      <c r="F331" s="33"/>
    </row>
  </sheetData>
  <conditionalFormatting sqref="A215:XFD1048576 CZ214:XFD214 DL48:XFD48 DC1:XFD1 DC24:XFD47">
    <cfRule type="containsText" dxfId="14" priority="8" operator="containsText" text="&lt;">
      <formula>NOT(ISERROR(SEARCH("&lt;",A1)))</formula>
    </cfRule>
  </conditionalFormatting>
  <conditionalFormatting sqref="AR44:AR47 AI27 AL45:AM45 AL46:AL47 AL44 AL27 AT44:AW46 AV47:AW47 AI44:AI47 AK44:AK47 AX44:BB47 AJ45:AJ46">
    <cfRule type="beginsWith" dxfId="13" priority="6" operator="beginsWith" text="&lt;">
      <formula>LEFT(AI27,LEN("&lt;"))="&lt;"</formula>
    </cfRule>
    <cfRule type="cellIs" dxfId="12" priority="7" operator="greaterThan">
      <formula>0</formula>
    </cfRule>
  </conditionalFormatting>
  <conditionalFormatting sqref="AI7">
    <cfRule type="beginsWith" dxfId="11" priority="4" operator="beginsWith" text="&lt;">
      <formula>LEFT(AI7,LEN("&lt;"))="&lt;"</formula>
    </cfRule>
    <cfRule type="cellIs" dxfId="10" priority="5" operator="greaterThan">
      <formula>0</formula>
    </cfRule>
  </conditionalFormatting>
  <conditionalFormatting sqref="AL7">
    <cfRule type="beginsWith" dxfId="9" priority="2" operator="beginsWith" text="&lt;">
      <formula>LEFT(AL7,LEN("&lt;"))="&lt;"</formula>
    </cfRule>
    <cfRule type="cellIs" dxfId="8" priority="3" operator="greaterThan">
      <formula>0</formula>
    </cfRule>
  </conditionalFormatting>
  <conditionalFormatting sqref="DL49:XFD213">
    <cfRule type="containsText" dxfId="7" priority="1" operator="containsText" text="&lt;">
      <formula>NOT(ISERROR(SEARCH("&lt;",DL49)))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331"/>
  <sheetViews>
    <sheetView tabSelected="1" zoomScale="40" zoomScaleNormal="40" workbookViewId="0">
      <pane ySplit="1" topLeftCell="A2" activePane="bottomLeft" state="frozen"/>
      <selection pane="bottomLeft" activeCell="V27" sqref="V27"/>
    </sheetView>
  </sheetViews>
  <sheetFormatPr defaultColWidth="9" defaultRowHeight="14" x14ac:dyDescent="0.3"/>
  <cols>
    <col min="1" max="1" width="21.33203125" style="14" bestFit="1" customWidth="1"/>
    <col min="2" max="2" width="23.83203125" style="14" customWidth="1"/>
    <col min="3" max="3" width="9.08203125" style="14" customWidth="1"/>
    <col min="4" max="4" width="10.83203125" style="14" customWidth="1"/>
    <col min="5" max="5" width="10.08203125" style="15" customWidth="1"/>
    <col min="6" max="6" width="11" style="15" customWidth="1"/>
    <col min="7" max="7" width="15.33203125" style="16" customWidth="1"/>
    <col min="8" max="8" width="5.5" style="16" bestFit="1" customWidth="1"/>
    <col min="9" max="9" width="11.83203125" style="121" customWidth="1"/>
    <col min="10" max="10" width="12.33203125" style="121" customWidth="1"/>
    <col min="11" max="11" width="12" style="251" customWidth="1"/>
    <col min="12" max="12" width="9.25" style="5" customWidth="1"/>
    <col min="13" max="13" width="8.58203125" style="5" customWidth="1"/>
    <col min="14" max="14" width="10.25" style="5" customWidth="1"/>
    <col min="15" max="15" width="11.08203125" style="5" customWidth="1"/>
    <col min="16" max="19" width="9.33203125" style="5" bestFit="1" customWidth="1"/>
    <col min="20" max="20" width="14" style="5" bestFit="1" customWidth="1"/>
    <col min="21" max="21" width="19.33203125" style="5" customWidth="1"/>
    <col min="22" max="22" width="19.5" style="5" bestFit="1" customWidth="1"/>
    <col min="23" max="29" width="9.25" style="5" bestFit="1" customWidth="1"/>
    <col min="30" max="30" width="13.33203125" style="5" customWidth="1"/>
    <col min="31" max="31" width="21" style="5" customWidth="1"/>
    <col min="32" max="32" width="12.5" style="5" customWidth="1"/>
    <col min="33" max="33" width="18" style="250" customWidth="1"/>
    <col min="34" max="34" width="9.33203125" style="250" bestFit="1" customWidth="1"/>
    <col min="35" max="44" width="9.25" style="5" bestFit="1" customWidth="1"/>
    <col min="45" max="48" width="9.25" style="5" customWidth="1"/>
    <col min="49" max="49" width="10.25" style="5" customWidth="1"/>
    <col min="50" max="50" width="9.83203125" style="5" customWidth="1"/>
    <col min="51" max="51" width="11.83203125" style="5" customWidth="1"/>
    <col min="52" max="52" width="8.75" style="5" customWidth="1"/>
    <col min="53" max="53" width="8.25" style="5" customWidth="1"/>
    <col min="54" max="54" width="7.75" style="5" customWidth="1"/>
    <col min="55" max="65" width="9.25" style="5" bestFit="1" customWidth="1"/>
    <col min="66" max="86" width="9" style="5"/>
    <col min="87" max="102" width="9" style="16"/>
    <col min="103" max="103" width="22.83203125" style="97" bestFit="1" customWidth="1"/>
    <col min="104" max="16384" width="9" style="14"/>
  </cols>
  <sheetData>
    <row r="1" spans="1:103" s="15" customFormat="1" ht="56.5" thickBot="1" x14ac:dyDescent="0.35">
      <c r="A1" s="163" t="s">
        <v>111</v>
      </c>
      <c r="B1" s="164" t="s">
        <v>0</v>
      </c>
      <c r="C1" s="164" t="s">
        <v>17</v>
      </c>
      <c r="D1" s="165" t="s">
        <v>110</v>
      </c>
      <c r="E1" s="161" t="s">
        <v>2</v>
      </c>
      <c r="F1" s="161" t="s">
        <v>2</v>
      </c>
      <c r="G1" s="166" t="s">
        <v>1</v>
      </c>
      <c r="H1" s="166" t="s">
        <v>18</v>
      </c>
      <c r="I1" s="167" t="s">
        <v>284</v>
      </c>
      <c r="J1" s="167" t="s">
        <v>113</v>
      </c>
      <c r="K1" s="234" t="s">
        <v>282</v>
      </c>
      <c r="L1" s="168" t="s">
        <v>283</v>
      </c>
      <c r="M1" s="168" t="s">
        <v>274</v>
      </c>
      <c r="N1" s="168" t="s">
        <v>275</v>
      </c>
      <c r="O1" s="168" t="s">
        <v>276</v>
      </c>
      <c r="P1" s="168" t="s">
        <v>277</v>
      </c>
      <c r="Q1" s="168" t="s">
        <v>278</v>
      </c>
      <c r="R1" s="168" t="s">
        <v>279</v>
      </c>
      <c r="S1" s="168" t="s">
        <v>280</v>
      </c>
      <c r="T1" s="168" t="s">
        <v>281</v>
      </c>
      <c r="U1" s="168" t="s">
        <v>285</v>
      </c>
      <c r="V1" s="168" t="s">
        <v>286</v>
      </c>
      <c r="W1" s="168" t="s">
        <v>287</v>
      </c>
      <c r="X1" s="168" t="s">
        <v>288</v>
      </c>
      <c r="Y1" s="168" t="s">
        <v>289</v>
      </c>
      <c r="Z1" s="168" t="s">
        <v>290</v>
      </c>
      <c r="AA1" s="168" t="s">
        <v>291</v>
      </c>
      <c r="AB1" s="168" t="s">
        <v>292</v>
      </c>
      <c r="AC1" s="168" t="s">
        <v>293</v>
      </c>
      <c r="AD1" s="168" t="s">
        <v>294</v>
      </c>
      <c r="AE1" s="168" t="s">
        <v>295</v>
      </c>
      <c r="AF1" s="168" t="s">
        <v>296</v>
      </c>
      <c r="AG1" s="168" t="s">
        <v>297</v>
      </c>
      <c r="AH1" s="168" t="s">
        <v>298</v>
      </c>
      <c r="AI1" s="168" t="s">
        <v>299</v>
      </c>
      <c r="AJ1" s="168" t="s">
        <v>300</v>
      </c>
      <c r="AK1" s="168" t="s">
        <v>301</v>
      </c>
      <c r="AL1" s="168" t="s">
        <v>302</v>
      </c>
      <c r="AM1" s="168" t="s">
        <v>303</v>
      </c>
      <c r="AN1" s="168" t="s">
        <v>304</v>
      </c>
      <c r="AO1" s="168" t="s">
        <v>305</v>
      </c>
      <c r="AP1" s="168" t="s">
        <v>306</v>
      </c>
      <c r="AQ1" s="168" t="s">
        <v>307</v>
      </c>
      <c r="AR1" s="168" t="s">
        <v>308</v>
      </c>
      <c r="AS1" s="168" t="s">
        <v>309</v>
      </c>
      <c r="AT1" s="168" t="s">
        <v>310</v>
      </c>
      <c r="AU1" s="168" t="s">
        <v>311</v>
      </c>
      <c r="AV1" s="168" t="s">
        <v>312</v>
      </c>
      <c r="AW1" s="168" t="s">
        <v>313</v>
      </c>
      <c r="AX1" s="169" t="s">
        <v>314</v>
      </c>
      <c r="AY1" s="169" t="s">
        <v>315</v>
      </c>
      <c r="AZ1" s="169" t="s">
        <v>316</v>
      </c>
      <c r="BA1" s="169" t="s">
        <v>317</v>
      </c>
      <c r="BB1" s="169" t="s">
        <v>318</v>
      </c>
      <c r="BC1" s="168" t="s">
        <v>319</v>
      </c>
      <c r="BD1" s="168" t="s">
        <v>320</v>
      </c>
      <c r="BE1" s="168" t="s">
        <v>321</v>
      </c>
      <c r="BF1" s="168" t="s">
        <v>322</v>
      </c>
      <c r="BG1" s="168" t="s">
        <v>323</v>
      </c>
      <c r="BH1" s="168" t="s">
        <v>324</v>
      </c>
      <c r="BI1" s="168" t="s">
        <v>325</v>
      </c>
      <c r="BJ1" s="168" t="s">
        <v>326</v>
      </c>
      <c r="BK1" s="168" t="s">
        <v>327</v>
      </c>
      <c r="BL1" s="168" t="s">
        <v>328</v>
      </c>
      <c r="BM1" s="168" t="s">
        <v>329</v>
      </c>
      <c r="BN1" s="168" t="s">
        <v>330</v>
      </c>
      <c r="BO1" s="168" t="s">
        <v>331</v>
      </c>
      <c r="BP1" s="168" t="s">
        <v>332</v>
      </c>
      <c r="BQ1" s="168" t="s">
        <v>333</v>
      </c>
      <c r="BR1" s="168" t="s">
        <v>334</v>
      </c>
      <c r="BS1" s="168" t="s">
        <v>335</v>
      </c>
      <c r="BT1" s="168" t="s">
        <v>336</v>
      </c>
      <c r="BU1" s="168" t="s">
        <v>337</v>
      </c>
      <c r="BV1" s="168" t="s">
        <v>338</v>
      </c>
      <c r="BW1" s="168" t="s">
        <v>339</v>
      </c>
      <c r="BX1" s="168" t="s">
        <v>340</v>
      </c>
      <c r="BY1" s="168" t="s">
        <v>341</v>
      </c>
      <c r="BZ1" s="168" t="s">
        <v>342</v>
      </c>
      <c r="CA1" s="168" t="s">
        <v>343</v>
      </c>
      <c r="CB1" s="168" t="s">
        <v>344</v>
      </c>
      <c r="CC1" s="168" t="s">
        <v>345</v>
      </c>
      <c r="CD1" s="168" t="s">
        <v>346</v>
      </c>
      <c r="CE1" s="168" t="s">
        <v>347</v>
      </c>
      <c r="CF1" s="168" t="s">
        <v>348</v>
      </c>
      <c r="CG1" s="168" t="s">
        <v>349</v>
      </c>
      <c r="CH1" s="168" t="s">
        <v>350</v>
      </c>
      <c r="CI1" s="170" t="s">
        <v>351</v>
      </c>
      <c r="CJ1" s="170" t="s">
        <v>352</v>
      </c>
      <c r="CK1" s="170" t="s">
        <v>353</v>
      </c>
      <c r="CL1" s="170" t="s">
        <v>354</v>
      </c>
      <c r="CM1" s="170" t="s">
        <v>355</v>
      </c>
      <c r="CN1" s="170" t="s">
        <v>356</v>
      </c>
      <c r="CO1" s="170" t="s">
        <v>357</v>
      </c>
      <c r="CP1" s="170" t="s">
        <v>358</v>
      </c>
      <c r="CQ1" s="166" t="s">
        <v>359</v>
      </c>
      <c r="CR1" s="166" t="s">
        <v>360</v>
      </c>
      <c r="CS1" s="166" t="s">
        <v>361</v>
      </c>
      <c r="CT1" s="166" t="s">
        <v>362</v>
      </c>
      <c r="CU1" s="166" t="s">
        <v>363</v>
      </c>
      <c r="CV1" s="166" t="s">
        <v>364</v>
      </c>
      <c r="CW1" s="166" t="s">
        <v>365</v>
      </c>
      <c r="CX1" s="166" t="s">
        <v>366</v>
      </c>
      <c r="CY1" s="171" t="s">
        <v>367</v>
      </c>
    </row>
    <row r="2" spans="1:103" s="204" customFormat="1" x14ac:dyDescent="0.3">
      <c r="A2" s="235" t="s">
        <v>21</v>
      </c>
      <c r="B2" s="98" t="s">
        <v>21</v>
      </c>
      <c r="C2" s="236" t="s">
        <v>20</v>
      </c>
      <c r="D2" s="237"/>
      <c r="E2" s="237"/>
      <c r="F2" s="237"/>
      <c r="G2" s="204" t="s">
        <v>381</v>
      </c>
      <c r="H2" s="204">
        <v>2024</v>
      </c>
      <c r="I2" s="237" t="s">
        <v>33</v>
      </c>
      <c r="J2" s="206">
        <v>10</v>
      </c>
      <c r="K2" s="190">
        <v>0.56093829678735097</v>
      </c>
      <c r="L2" s="204" t="s">
        <v>395</v>
      </c>
      <c r="M2" s="238">
        <v>2.1999999999999999E-2</v>
      </c>
      <c r="N2" s="193">
        <v>7.1999999999999995E-2</v>
      </c>
      <c r="O2" s="193">
        <v>1.3</v>
      </c>
      <c r="P2" s="194">
        <v>1</v>
      </c>
      <c r="Q2" s="193">
        <v>5.7</v>
      </c>
      <c r="R2" s="193">
        <v>4.7</v>
      </c>
      <c r="S2" s="193">
        <v>2.1</v>
      </c>
      <c r="T2" s="195">
        <v>14.894</v>
      </c>
      <c r="U2" s="207">
        <f>SUM(M2,N2,O2,Q2,R2,S2)*(5/K2)</f>
        <v>123.84606363636416</v>
      </c>
      <c r="V2" s="208">
        <f>0.5*0.027</f>
        <v>1.35E-2</v>
      </c>
      <c r="W2" s="208">
        <v>0.15</v>
      </c>
      <c r="X2" s="208">
        <v>5.2999999999999999E-2</v>
      </c>
      <c r="Y2" s="208">
        <v>5.5E-2</v>
      </c>
      <c r="Z2" s="208">
        <f>0.5*0.027</f>
        <v>1.35E-2</v>
      </c>
      <c r="AA2" s="208">
        <v>2.7E-2</v>
      </c>
      <c r="AB2" s="239">
        <v>1.9E-2</v>
      </c>
      <c r="AC2" s="196">
        <f>0.5*0.053</f>
        <v>2.6499999999999999E-2</v>
      </c>
      <c r="AD2" s="209">
        <v>0.3</v>
      </c>
      <c r="AE2" s="208">
        <f t="shared" ref="AE2:AE23" si="0">SUM(V2,W2,Y2,X2,AB2,AA2)</f>
        <v>0.31750000000000006</v>
      </c>
      <c r="AF2" s="197">
        <v>4.5999999999999999E-2</v>
      </c>
      <c r="AG2" s="208">
        <f t="shared" ref="AG2:AG23" si="1">AF2*(5/K2)</f>
        <v>0.41002727272727446</v>
      </c>
      <c r="AH2" s="207">
        <v>22.865939716312056</v>
      </c>
      <c r="AI2" s="210">
        <f>0.5*0.15</f>
        <v>7.4999999999999997E-2</v>
      </c>
      <c r="AJ2" s="210">
        <f>0.5*0.15</f>
        <v>7.4999999999999997E-2</v>
      </c>
      <c r="AK2" s="240">
        <v>7.2872340425531923E-2</v>
      </c>
      <c r="AL2" s="210">
        <f>0.5*0.15</f>
        <v>7.4999999999999997E-2</v>
      </c>
      <c r="AM2" s="210">
        <f>0.5*0.15</f>
        <v>7.4999999999999997E-2</v>
      </c>
      <c r="AN2" s="210">
        <v>0.78278368794326247</v>
      </c>
      <c r="AO2" s="210">
        <v>0.3340425531914894</v>
      </c>
      <c r="AP2" s="210">
        <f t="shared" ref="AP2:AP23" si="2">0.5*0.15</f>
        <v>7.4999999999999997E-2</v>
      </c>
      <c r="AQ2" s="210">
        <v>0.51319148936170211</v>
      </c>
      <c r="AR2" s="210">
        <f>0.5*0.15</f>
        <v>7.4999999999999997E-2</v>
      </c>
      <c r="AS2" s="210">
        <v>0.81478723404255327</v>
      </c>
      <c r="AT2" s="210">
        <v>0.1722340425531915</v>
      </c>
      <c r="AU2" s="210">
        <f>0.5*0.21</f>
        <v>0.105</v>
      </c>
      <c r="AV2" s="210">
        <f t="shared" ref="AV2:BB2" si="3">0.5*0.15</f>
        <v>7.4999999999999997E-2</v>
      </c>
      <c r="AW2" s="210">
        <f t="shared" si="3"/>
        <v>7.4999999999999997E-2</v>
      </c>
      <c r="AX2" s="210">
        <f t="shared" si="3"/>
        <v>7.4999999999999997E-2</v>
      </c>
      <c r="AY2" s="210">
        <f t="shared" si="3"/>
        <v>7.4999999999999997E-2</v>
      </c>
      <c r="AZ2" s="210">
        <f t="shared" si="3"/>
        <v>7.4999999999999997E-2</v>
      </c>
      <c r="BA2" s="210">
        <f t="shared" si="3"/>
        <v>7.4999999999999997E-2</v>
      </c>
      <c r="BB2" s="210">
        <f t="shared" si="3"/>
        <v>7.4999999999999997E-2</v>
      </c>
      <c r="BC2" s="204" t="s">
        <v>395</v>
      </c>
      <c r="BD2" s="204" t="s">
        <v>395</v>
      </c>
      <c r="BE2" s="204" t="s">
        <v>395</v>
      </c>
      <c r="BF2" s="204" t="s">
        <v>395</v>
      </c>
      <c r="BG2" s="204" t="s">
        <v>395</v>
      </c>
      <c r="BH2" s="204" t="s">
        <v>395</v>
      </c>
      <c r="BI2" s="204" t="s">
        <v>395</v>
      </c>
      <c r="BJ2" s="204" t="s">
        <v>395</v>
      </c>
      <c r="BK2" s="204" t="s">
        <v>395</v>
      </c>
      <c r="BL2" s="204" t="s">
        <v>395</v>
      </c>
      <c r="BM2" s="204" t="s">
        <v>395</v>
      </c>
      <c r="BN2" s="156">
        <v>75</v>
      </c>
      <c r="BO2" s="241" t="s">
        <v>395</v>
      </c>
      <c r="BP2" s="241" t="s">
        <v>395</v>
      </c>
      <c r="BQ2" s="241" t="s">
        <v>395</v>
      </c>
      <c r="BR2" s="241" t="s">
        <v>395</v>
      </c>
      <c r="BS2" s="241" t="s">
        <v>395</v>
      </c>
      <c r="BT2" s="241" t="s">
        <v>395</v>
      </c>
      <c r="BU2" s="241" t="s">
        <v>395</v>
      </c>
      <c r="BV2" s="241" t="s">
        <v>395</v>
      </c>
      <c r="BW2" s="241" t="s">
        <v>395</v>
      </c>
      <c r="BX2" s="241" t="s">
        <v>395</v>
      </c>
      <c r="BY2" s="241" t="s">
        <v>395</v>
      </c>
      <c r="BZ2" s="241" t="s">
        <v>395</v>
      </c>
      <c r="CA2" s="241" t="s">
        <v>395</v>
      </c>
      <c r="CB2" s="241" t="s">
        <v>395</v>
      </c>
      <c r="CC2" s="241" t="s">
        <v>395</v>
      </c>
      <c r="CD2" s="241" t="s">
        <v>395</v>
      </c>
      <c r="CE2" s="241" t="s">
        <v>395</v>
      </c>
      <c r="CF2" s="241" t="s">
        <v>395</v>
      </c>
      <c r="CG2" s="241" t="s">
        <v>395</v>
      </c>
      <c r="CH2" s="241" t="s">
        <v>395</v>
      </c>
      <c r="CI2" s="211">
        <f>M2*(5/$K2)</f>
        <v>0.19610000000000083</v>
      </c>
      <c r="CJ2" s="211">
        <f t="shared" ref="CJ2:CP17" si="4">N2*(5/$K2)</f>
        <v>0.6417818181818209</v>
      </c>
      <c r="CK2" s="211">
        <f t="shared" si="4"/>
        <v>11.587727272727323</v>
      </c>
      <c r="CL2" s="211">
        <f t="shared" si="4"/>
        <v>8.9136363636364013</v>
      </c>
      <c r="CM2" s="211">
        <f t="shared" si="4"/>
        <v>50.80772727272749</v>
      </c>
      <c r="CN2" s="211">
        <f t="shared" si="4"/>
        <v>41.894090909091091</v>
      </c>
      <c r="CO2" s="211">
        <f t="shared" si="4"/>
        <v>18.718636363636442</v>
      </c>
      <c r="CP2" s="211">
        <f t="shared" si="4"/>
        <v>132.75970000000055</v>
      </c>
      <c r="CQ2" s="211">
        <f>W2*(5/$K2)</f>
        <v>1.3370454545454602</v>
      </c>
      <c r="CR2" s="211">
        <f>X2*(5/$K2)</f>
        <v>0.47242272727272927</v>
      </c>
      <c r="CS2" s="211">
        <f>Y2*(5/$K2)</f>
        <v>0.49025000000000207</v>
      </c>
      <c r="CT2" s="211">
        <f t="shared" ref="CT2:CX17" si="5">Z2*(5/$K2)</f>
        <v>0.12033409090909142</v>
      </c>
      <c r="CU2" s="211">
        <f t="shared" si="5"/>
        <v>0.24066818181818284</v>
      </c>
      <c r="CV2" s="211">
        <f t="shared" si="5"/>
        <v>0.16935909090909163</v>
      </c>
      <c r="CW2" s="211">
        <f t="shared" si="5"/>
        <v>0.23621136363636464</v>
      </c>
      <c r="CX2" s="211">
        <f>AD2*(5/$K2)</f>
        <v>2.6740909090909204</v>
      </c>
      <c r="CY2" s="59" t="s">
        <v>395</v>
      </c>
    </row>
    <row r="3" spans="1:103" s="204" customFormat="1" x14ac:dyDescent="0.3">
      <c r="A3" s="235" t="s">
        <v>4</v>
      </c>
      <c r="B3" s="98" t="s">
        <v>4</v>
      </c>
      <c r="C3" s="236" t="s">
        <v>20</v>
      </c>
      <c r="D3" s="237"/>
      <c r="E3" s="237"/>
      <c r="F3" s="237"/>
      <c r="G3" s="219">
        <v>45496</v>
      </c>
      <c r="H3" s="204">
        <v>2024</v>
      </c>
      <c r="I3" s="237" t="s">
        <v>33</v>
      </c>
      <c r="J3" s="206">
        <v>10</v>
      </c>
      <c r="K3" s="190">
        <v>0.58800848274532402</v>
      </c>
      <c r="L3" s="204" t="s">
        <v>395</v>
      </c>
      <c r="M3" s="193">
        <v>1.1000000000000001</v>
      </c>
      <c r="N3" s="193">
        <v>1.8</v>
      </c>
      <c r="O3" s="193">
        <v>5.4</v>
      </c>
      <c r="P3" s="193">
        <v>4.5999999999999996</v>
      </c>
      <c r="Q3" s="193">
        <v>10</v>
      </c>
      <c r="R3" s="193">
        <v>9.1999999999999993</v>
      </c>
      <c r="S3" s="193">
        <v>2.6</v>
      </c>
      <c r="T3" s="195">
        <v>34.699999999999996</v>
      </c>
      <c r="U3" s="207">
        <f t="shared" ref="U3:U23" si="6">SUM(M3,N3,O3,Q3,R3,S3)*(5/K3)</f>
        <v>255.94868852459055</v>
      </c>
      <c r="V3" s="208">
        <f>0.5*0.027</f>
        <v>1.35E-2</v>
      </c>
      <c r="W3" s="208">
        <v>0.18</v>
      </c>
      <c r="X3" s="208">
        <v>0.11</v>
      </c>
      <c r="Y3" s="208">
        <v>8.5999999999999993E-2</v>
      </c>
      <c r="Z3" s="208">
        <f>0.5*0.027</f>
        <v>1.35E-2</v>
      </c>
      <c r="AA3" s="239">
        <v>2.1999999999999999E-2</v>
      </c>
      <c r="AB3" s="208">
        <v>1.6E-2</v>
      </c>
      <c r="AC3" s="196">
        <f>0.5*0.054</f>
        <v>2.7E-2</v>
      </c>
      <c r="AD3" s="209">
        <v>0.41</v>
      </c>
      <c r="AE3" s="208">
        <f t="shared" si="0"/>
        <v>0.42749999999999999</v>
      </c>
      <c r="AF3" s="197">
        <v>2.8000000000000001E-2</v>
      </c>
      <c r="AG3" s="208">
        <f t="shared" si="1"/>
        <v>0.23809180327868887</v>
      </c>
      <c r="AH3" s="207">
        <v>14.292919020715633</v>
      </c>
      <c r="AI3" s="210">
        <f t="shared" ref="AI3:AI23" si="7">0.5*0.15</f>
        <v>7.4999999999999997E-2</v>
      </c>
      <c r="AJ3" s="210">
        <v>0.22212806026365348</v>
      </c>
      <c r="AK3" s="210">
        <f t="shared" ref="AK3:AL14" si="8">0.5*0.15</f>
        <v>7.4999999999999997E-2</v>
      </c>
      <c r="AL3" s="210">
        <f t="shared" si="8"/>
        <v>7.4999999999999997E-2</v>
      </c>
      <c r="AM3" s="240">
        <v>8.2919020715630884E-2</v>
      </c>
      <c r="AN3" s="210">
        <v>0.63126177024482111</v>
      </c>
      <c r="AO3" s="240">
        <v>0.13468926553672317</v>
      </c>
      <c r="AP3" s="210">
        <f t="shared" si="2"/>
        <v>7.4999999999999997E-2</v>
      </c>
      <c r="AQ3" s="210">
        <v>0.77909604519774012</v>
      </c>
      <c r="AR3" s="210">
        <f>0.5*0.15</f>
        <v>7.4999999999999997E-2</v>
      </c>
      <c r="AS3" s="210">
        <v>1.7424858757062147</v>
      </c>
      <c r="AT3" s="210">
        <v>0.322090395480226</v>
      </c>
      <c r="AU3" s="240">
        <v>8.5329566854990574E-2</v>
      </c>
      <c r="AV3" s="210">
        <f t="shared" ref="AV3:AY19" si="9">0.5*0.15</f>
        <v>7.4999999999999997E-2</v>
      </c>
      <c r="AW3" s="210">
        <f t="shared" si="9"/>
        <v>7.4999999999999997E-2</v>
      </c>
      <c r="AX3" s="210">
        <f t="shared" si="9"/>
        <v>7.4999999999999997E-2</v>
      </c>
      <c r="AY3" s="210">
        <f t="shared" si="9"/>
        <v>7.4999999999999997E-2</v>
      </c>
      <c r="AZ3" s="240">
        <v>6.1751412429378524E-2</v>
      </c>
      <c r="BA3" s="210">
        <f>0.5*0.15</f>
        <v>7.4999999999999997E-2</v>
      </c>
      <c r="BB3" s="240">
        <v>5.2598870056497174E-2</v>
      </c>
      <c r="BC3" s="204" t="s">
        <v>395</v>
      </c>
      <c r="BD3" s="204" t="s">
        <v>395</v>
      </c>
      <c r="BE3" s="204" t="s">
        <v>395</v>
      </c>
      <c r="BF3" s="204" t="s">
        <v>395</v>
      </c>
      <c r="BG3" s="204" t="s">
        <v>395</v>
      </c>
      <c r="BH3" s="204" t="s">
        <v>395</v>
      </c>
      <c r="BI3" s="204" t="s">
        <v>395</v>
      </c>
      <c r="BJ3" s="204" t="s">
        <v>395</v>
      </c>
      <c r="BK3" s="204" t="s">
        <v>395</v>
      </c>
      <c r="BL3" s="204" t="s">
        <v>395</v>
      </c>
      <c r="BM3" s="204" t="s">
        <v>395</v>
      </c>
      <c r="BN3" s="156">
        <v>96</v>
      </c>
      <c r="BO3" s="241" t="s">
        <v>395</v>
      </c>
      <c r="BP3" s="241" t="s">
        <v>395</v>
      </c>
      <c r="BQ3" s="241" t="s">
        <v>395</v>
      </c>
      <c r="BR3" s="241" t="s">
        <v>395</v>
      </c>
      <c r="BS3" s="241" t="s">
        <v>395</v>
      </c>
      <c r="BT3" s="241" t="s">
        <v>395</v>
      </c>
      <c r="BU3" s="241" t="s">
        <v>395</v>
      </c>
      <c r="BV3" s="241" t="s">
        <v>395</v>
      </c>
      <c r="BW3" s="241" t="s">
        <v>395</v>
      </c>
      <c r="BX3" s="241" t="s">
        <v>395</v>
      </c>
      <c r="BY3" s="241" t="s">
        <v>395</v>
      </c>
      <c r="BZ3" s="241" t="s">
        <v>395</v>
      </c>
      <c r="CA3" s="241" t="s">
        <v>395</v>
      </c>
      <c r="CB3" s="241" t="s">
        <v>395</v>
      </c>
      <c r="CC3" s="241" t="s">
        <v>395</v>
      </c>
      <c r="CD3" s="241" t="s">
        <v>395</v>
      </c>
      <c r="CE3" s="241" t="s">
        <v>395</v>
      </c>
      <c r="CF3" s="241" t="s">
        <v>395</v>
      </c>
      <c r="CG3" s="241" t="s">
        <v>395</v>
      </c>
      <c r="CH3" s="241" t="s">
        <v>395</v>
      </c>
      <c r="CI3" s="211">
        <f t="shared" ref="CI3:CP23" si="10">M3*(5/$K3)</f>
        <v>9.3536065573770628</v>
      </c>
      <c r="CJ3" s="211">
        <f t="shared" si="4"/>
        <v>15.305901639344285</v>
      </c>
      <c r="CK3" s="211">
        <f t="shared" si="4"/>
        <v>45.917704918032854</v>
      </c>
      <c r="CL3" s="211">
        <f t="shared" si="4"/>
        <v>39.115081967213172</v>
      </c>
      <c r="CM3" s="211">
        <f t="shared" si="4"/>
        <v>85.032786885246026</v>
      </c>
      <c r="CN3" s="211">
        <f t="shared" si="4"/>
        <v>78.230163934426344</v>
      </c>
      <c r="CO3" s="211">
        <f t="shared" si="4"/>
        <v>22.108524590163967</v>
      </c>
      <c r="CP3" s="211">
        <f t="shared" si="4"/>
        <v>295.06377049180367</v>
      </c>
      <c r="CQ3" s="211">
        <f t="shared" ref="CQ3:CX23" si="11">W3*(5/$K3)</f>
        <v>1.5305901639344284</v>
      </c>
      <c r="CR3" s="211">
        <f t="shared" si="11"/>
        <v>0.93536065573770633</v>
      </c>
      <c r="CS3" s="211">
        <f t="shared" si="11"/>
        <v>0.73128196721311578</v>
      </c>
      <c r="CT3" s="211">
        <f t="shared" si="5"/>
        <v>0.11479426229508213</v>
      </c>
      <c r="CU3" s="211">
        <f t="shared" si="5"/>
        <v>0.18707213114754123</v>
      </c>
      <c r="CV3" s="211">
        <f t="shared" si="5"/>
        <v>0.13605245901639365</v>
      </c>
      <c r="CW3" s="211">
        <f t="shared" si="5"/>
        <v>0.22958852459016427</v>
      </c>
      <c r="CX3" s="211">
        <f t="shared" si="5"/>
        <v>3.4863442622950869</v>
      </c>
      <c r="CY3" s="59" t="s">
        <v>395</v>
      </c>
    </row>
    <row r="4" spans="1:103" s="204" customFormat="1" x14ac:dyDescent="0.3">
      <c r="A4" s="235" t="s">
        <v>8</v>
      </c>
      <c r="B4" s="98" t="s">
        <v>8</v>
      </c>
      <c r="C4" s="236" t="s">
        <v>20</v>
      </c>
      <c r="D4" s="237"/>
      <c r="E4" s="237"/>
      <c r="F4" s="237"/>
      <c r="G4" s="219">
        <v>45504</v>
      </c>
      <c r="H4" s="204">
        <v>2024</v>
      </c>
      <c r="I4" s="237" t="s">
        <v>33</v>
      </c>
      <c r="J4" s="206">
        <v>10</v>
      </c>
      <c r="K4" s="190">
        <v>0.63867657836875702</v>
      </c>
      <c r="L4" s="204" t="s">
        <v>395</v>
      </c>
      <c r="M4" s="198">
        <f>0.5*0.04</f>
        <v>0.02</v>
      </c>
      <c r="N4" s="193">
        <v>2.3E-2</v>
      </c>
      <c r="O4" s="193">
        <v>0.42</v>
      </c>
      <c r="P4" s="193">
        <v>0.43</v>
      </c>
      <c r="Q4" s="193">
        <v>2.2000000000000002</v>
      </c>
      <c r="R4" s="193">
        <v>1.6</v>
      </c>
      <c r="S4" s="199">
        <v>0.8</v>
      </c>
      <c r="T4" s="194">
        <v>5.4729999999999999</v>
      </c>
      <c r="U4" s="207">
        <f t="shared" si="6"/>
        <v>39.63665000000001</v>
      </c>
      <c r="V4" s="208">
        <f>0.5*0.025</f>
        <v>1.2500000000000001E-2</v>
      </c>
      <c r="W4" s="208">
        <v>5.0999999999999997E-2</v>
      </c>
      <c r="X4" s="208">
        <v>6.2E-2</v>
      </c>
      <c r="Y4" s="208">
        <f>0.5*0.02</f>
        <v>0.01</v>
      </c>
      <c r="Z4" s="208">
        <f>0.5*0.025</f>
        <v>1.2500000000000001E-2</v>
      </c>
      <c r="AA4" s="239">
        <v>1.2E-2</v>
      </c>
      <c r="AB4" s="208">
        <f>0.5*0.025</f>
        <v>1.2500000000000001E-2</v>
      </c>
      <c r="AC4" s="196">
        <f>0.5*0.05</f>
        <v>2.5000000000000001E-2</v>
      </c>
      <c r="AD4" s="209">
        <v>0.12</v>
      </c>
      <c r="AE4" s="208">
        <f t="shared" si="0"/>
        <v>0.16000000000000003</v>
      </c>
      <c r="AF4" s="197">
        <v>1.2999999999999999E-2</v>
      </c>
      <c r="AG4" s="208">
        <f t="shared" si="1"/>
        <v>0.10177295081967216</v>
      </c>
      <c r="AH4" s="207">
        <v>13.249415481832544</v>
      </c>
      <c r="AI4" s="210">
        <f t="shared" si="7"/>
        <v>7.4999999999999997E-2</v>
      </c>
      <c r="AJ4" s="210">
        <f t="shared" ref="AJ4:AJ23" si="12">0.5*0.15</f>
        <v>7.4999999999999997E-2</v>
      </c>
      <c r="AK4" s="210">
        <f t="shared" si="8"/>
        <v>7.4999999999999997E-2</v>
      </c>
      <c r="AL4" s="210">
        <f t="shared" si="8"/>
        <v>7.4999999999999997E-2</v>
      </c>
      <c r="AM4" s="240">
        <v>0.10259083728278041</v>
      </c>
      <c r="AN4" s="210">
        <v>1.880916271721959</v>
      </c>
      <c r="AO4" s="240">
        <v>0.1261611374407583</v>
      </c>
      <c r="AP4" s="210">
        <f t="shared" si="2"/>
        <v>7.4999999999999997E-2</v>
      </c>
      <c r="AQ4" s="210">
        <v>0.76928909952606639</v>
      </c>
      <c r="AR4" s="210">
        <f>0.5*0.15</f>
        <v>7.4999999999999997E-2</v>
      </c>
      <c r="AS4" s="210">
        <v>0.5223696682464456</v>
      </c>
      <c r="AT4" s="210">
        <f>0.5*0.15</f>
        <v>7.4999999999999997E-2</v>
      </c>
      <c r="AU4" s="210">
        <f>0.5*0.21</f>
        <v>0.105</v>
      </c>
      <c r="AV4" s="210">
        <f t="shared" si="9"/>
        <v>7.4999999999999997E-2</v>
      </c>
      <c r="AW4" s="210">
        <f t="shared" si="9"/>
        <v>7.4999999999999997E-2</v>
      </c>
      <c r="AX4" s="210">
        <f t="shared" si="9"/>
        <v>7.4999999999999997E-2</v>
      </c>
      <c r="AY4" s="210">
        <f t="shared" si="9"/>
        <v>7.4999999999999997E-2</v>
      </c>
      <c r="AZ4" s="210">
        <f t="shared" ref="AZ4:AZ10" si="13">0.5*0.15</f>
        <v>7.4999999999999997E-2</v>
      </c>
      <c r="BA4" s="210">
        <f>0.5*0.15</f>
        <v>7.4999999999999997E-2</v>
      </c>
      <c r="BB4" s="210">
        <f>0.5*0.15</f>
        <v>7.4999999999999997E-2</v>
      </c>
      <c r="BC4" s="204" t="s">
        <v>395</v>
      </c>
      <c r="BD4" s="204" t="s">
        <v>395</v>
      </c>
      <c r="BE4" s="204" t="s">
        <v>395</v>
      </c>
      <c r="BF4" s="204" t="s">
        <v>395</v>
      </c>
      <c r="BG4" s="204" t="s">
        <v>395</v>
      </c>
      <c r="BH4" s="204" t="s">
        <v>395</v>
      </c>
      <c r="BI4" s="204" t="s">
        <v>395</v>
      </c>
      <c r="BJ4" s="204" t="s">
        <v>395</v>
      </c>
      <c r="BK4" s="204" t="s">
        <v>395</v>
      </c>
      <c r="BL4" s="204" t="s">
        <v>395</v>
      </c>
      <c r="BM4" s="204" t="s">
        <v>395</v>
      </c>
      <c r="BN4" s="156">
        <v>80</v>
      </c>
      <c r="BO4" s="241" t="s">
        <v>395</v>
      </c>
      <c r="BP4" s="241" t="s">
        <v>395</v>
      </c>
      <c r="BQ4" s="241" t="s">
        <v>395</v>
      </c>
      <c r="BR4" s="241" t="s">
        <v>395</v>
      </c>
      <c r="BS4" s="241" t="s">
        <v>395</v>
      </c>
      <c r="BT4" s="241" t="s">
        <v>395</v>
      </c>
      <c r="BU4" s="241" t="s">
        <v>395</v>
      </c>
      <c r="BV4" s="241" t="s">
        <v>395</v>
      </c>
      <c r="BW4" s="241" t="s">
        <v>395</v>
      </c>
      <c r="BX4" s="241" t="s">
        <v>395</v>
      </c>
      <c r="BY4" s="241" t="s">
        <v>395</v>
      </c>
      <c r="BZ4" s="241" t="s">
        <v>395</v>
      </c>
      <c r="CA4" s="241" t="s">
        <v>395</v>
      </c>
      <c r="CB4" s="241" t="s">
        <v>395</v>
      </c>
      <c r="CC4" s="241" t="s">
        <v>395</v>
      </c>
      <c r="CD4" s="241" t="s">
        <v>395</v>
      </c>
      <c r="CE4" s="241" t="s">
        <v>395</v>
      </c>
      <c r="CF4" s="241" t="s">
        <v>395</v>
      </c>
      <c r="CG4" s="241" t="s">
        <v>395</v>
      </c>
      <c r="CH4" s="241" t="s">
        <v>395</v>
      </c>
      <c r="CI4" s="211">
        <f t="shared" si="10"/>
        <v>0.15657377049180332</v>
      </c>
      <c r="CJ4" s="211">
        <f t="shared" si="4"/>
        <v>0.18005983606557383</v>
      </c>
      <c r="CK4" s="211">
        <f t="shared" si="4"/>
        <v>3.28804918032787</v>
      </c>
      <c r="CL4" s="211">
        <f t="shared" si="4"/>
        <v>3.3663360655737717</v>
      </c>
      <c r="CM4" s="211">
        <f t="shared" si="4"/>
        <v>17.223114754098368</v>
      </c>
      <c r="CN4" s="211">
        <f t="shared" si="4"/>
        <v>12.525901639344267</v>
      </c>
      <c r="CO4" s="211">
        <f t="shared" si="4"/>
        <v>6.2629508196721337</v>
      </c>
      <c r="CP4" s="211">
        <f t="shared" si="4"/>
        <v>42.846412295081983</v>
      </c>
      <c r="CQ4" s="211">
        <f t="shared" si="11"/>
        <v>0.39926311475409848</v>
      </c>
      <c r="CR4" s="211">
        <f t="shared" si="11"/>
        <v>0.48537868852459032</v>
      </c>
      <c r="CS4" s="211">
        <f t="shared" si="11"/>
        <v>7.8286885245901661E-2</v>
      </c>
      <c r="CT4" s="211">
        <f t="shared" si="5"/>
        <v>9.785860655737709E-2</v>
      </c>
      <c r="CU4" s="211">
        <f t="shared" si="5"/>
        <v>9.3944262295082001E-2</v>
      </c>
      <c r="CV4" s="211">
        <f t="shared" si="5"/>
        <v>9.785860655737709E-2</v>
      </c>
      <c r="CW4" s="211">
        <f t="shared" si="5"/>
        <v>0.19571721311475418</v>
      </c>
      <c r="CX4" s="211">
        <f t="shared" si="5"/>
        <v>0.93944262295081993</v>
      </c>
      <c r="CY4" s="59" t="s">
        <v>395</v>
      </c>
    </row>
    <row r="5" spans="1:103" s="204" customFormat="1" x14ac:dyDescent="0.3">
      <c r="A5" s="235" t="s">
        <v>22</v>
      </c>
      <c r="B5" s="98" t="s">
        <v>22</v>
      </c>
      <c r="C5" s="236" t="s">
        <v>20</v>
      </c>
      <c r="D5" s="237"/>
      <c r="E5" s="237"/>
      <c r="F5" s="237"/>
      <c r="G5" s="219">
        <v>45496</v>
      </c>
      <c r="H5" s="204">
        <v>2024</v>
      </c>
      <c r="I5" s="237" t="s">
        <v>33</v>
      </c>
      <c r="J5" s="206">
        <v>10</v>
      </c>
      <c r="K5" s="212">
        <v>0.78455662227728395</v>
      </c>
      <c r="L5" s="204" t="s">
        <v>395</v>
      </c>
      <c r="M5" s="193">
        <v>0.39</v>
      </c>
      <c r="N5" s="193">
        <v>0.71</v>
      </c>
      <c r="O5" s="193">
        <v>2.6</v>
      </c>
      <c r="P5" s="193">
        <v>2.7</v>
      </c>
      <c r="Q5" s="193">
        <v>6.7</v>
      </c>
      <c r="R5" s="193">
        <v>5.9</v>
      </c>
      <c r="S5" s="193">
        <v>1.7</v>
      </c>
      <c r="T5" s="195">
        <v>20.7</v>
      </c>
      <c r="U5" s="207">
        <f t="shared" si="6"/>
        <v>114.71447368420978</v>
      </c>
      <c r="V5" s="208">
        <f>0.5*0.024</f>
        <v>1.2E-2</v>
      </c>
      <c r="W5" s="208">
        <v>0.11</v>
      </c>
      <c r="X5" s="213">
        <v>0.1</v>
      </c>
      <c r="Y5" s="208">
        <v>0.12</v>
      </c>
      <c r="Z5" s="208">
        <f>0.5*0.024</f>
        <v>1.2E-2</v>
      </c>
      <c r="AA5" s="239">
        <v>1.7999999999999999E-2</v>
      </c>
      <c r="AB5" s="208">
        <f>0.5*0.024</f>
        <v>1.2E-2</v>
      </c>
      <c r="AC5" s="196">
        <f>0.5*0.047</f>
        <v>2.35E-2</v>
      </c>
      <c r="AD5" s="214">
        <v>0.35</v>
      </c>
      <c r="AE5" s="208">
        <f t="shared" si="0"/>
        <v>0.372</v>
      </c>
      <c r="AF5" s="197">
        <v>3.5000000000000003E-2</v>
      </c>
      <c r="AG5" s="208">
        <f>AF5*(5/K5)</f>
        <v>0.22305592105263014</v>
      </c>
      <c r="AH5" s="215">
        <v>5.4498619329388553</v>
      </c>
      <c r="AI5" s="210">
        <f t="shared" si="7"/>
        <v>7.4999999999999997E-2</v>
      </c>
      <c r="AJ5" s="210">
        <f t="shared" si="12"/>
        <v>7.4999999999999997E-2</v>
      </c>
      <c r="AK5" s="210">
        <f t="shared" si="8"/>
        <v>7.4999999999999997E-2</v>
      </c>
      <c r="AL5" s="210">
        <f t="shared" si="8"/>
        <v>7.4999999999999997E-2</v>
      </c>
      <c r="AM5" s="240">
        <v>9.5779092702169624E-2</v>
      </c>
      <c r="AN5" s="210">
        <v>0.39635108481262327</v>
      </c>
      <c r="AO5" s="210">
        <f>0.5*0.15</f>
        <v>7.4999999999999997E-2</v>
      </c>
      <c r="AP5" s="210">
        <f t="shared" si="2"/>
        <v>7.4999999999999997E-2</v>
      </c>
      <c r="AQ5" s="210">
        <v>0.32414201183431957</v>
      </c>
      <c r="AR5" s="210">
        <f>0.5*0.15</f>
        <v>7.4999999999999997E-2</v>
      </c>
      <c r="AS5" s="210">
        <v>0.50751479289940826</v>
      </c>
      <c r="AT5" s="240">
        <v>7.6390532544378692E-2</v>
      </c>
      <c r="AU5" s="210">
        <f>0.5*0.21</f>
        <v>0.105</v>
      </c>
      <c r="AV5" s="210">
        <f t="shared" si="9"/>
        <v>7.4999999999999997E-2</v>
      </c>
      <c r="AW5" s="210">
        <f t="shared" si="9"/>
        <v>7.4999999999999997E-2</v>
      </c>
      <c r="AX5" s="210">
        <f t="shared" si="9"/>
        <v>7.4999999999999997E-2</v>
      </c>
      <c r="AY5" s="210">
        <f t="shared" si="9"/>
        <v>7.4999999999999997E-2</v>
      </c>
      <c r="AZ5" s="210">
        <f t="shared" si="13"/>
        <v>7.4999999999999997E-2</v>
      </c>
      <c r="BA5" s="210">
        <f>0.5*0.15</f>
        <v>7.4999999999999997E-2</v>
      </c>
      <c r="BB5" s="210">
        <f>0.5*0.15</f>
        <v>7.4999999999999997E-2</v>
      </c>
      <c r="BC5" s="204" t="s">
        <v>395</v>
      </c>
      <c r="BD5" s="204" t="s">
        <v>395</v>
      </c>
      <c r="BE5" s="204" t="s">
        <v>395</v>
      </c>
      <c r="BF5" s="204" t="s">
        <v>395</v>
      </c>
      <c r="BG5" s="204" t="s">
        <v>395</v>
      </c>
      <c r="BH5" s="204" t="s">
        <v>395</v>
      </c>
      <c r="BI5" s="204" t="s">
        <v>395</v>
      </c>
      <c r="BJ5" s="204" t="s">
        <v>395</v>
      </c>
      <c r="BK5" s="204" t="s">
        <v>395</v>
      </c>
      <c r="BL5" s="204" t="s">
        <v>395</v>
      </c>
      <c r="BM5" s="204" t="s">
        <v>395</v>
      </c>
      <c r="BN5" s="156">
        <v>150</v>
      </c>
      <c r="BO5" s="241" t="s">
        <v>395</v>
      </c>
      <c r="BP5" s="241" t="s">
        <v>395</v>
      </c>
      <c r="BQ5" s="241" t="s">
        <v>395</v>
      </c>
      <c r="BR5" s="241" t="s">
        <v>395</v>
      </c>
      <c r="BS5" s="241" t="s">
        <v>395</v>
      </c>
      <c r="BT5" s="241" t="s">
        <v>395</v>
      </c>
      <c r="BU5" s="241" t="s">
        <v>395</v>
      </c>
      <c r="BV5" s="241" t="s">
        <v>395</v>
      </c>
      <c r="BW5" s="241" t="s">
        <v>395</v>
      </c>
      <c r="BX5" s="241" t="s">
        <v>395</v>
      </c>
      <c r="BY5" s="241" t="s">
        <v>395</v>
      </c>
      <c r="BZ5" s="241" t="s">
        <v>395</v>
      </c>
      <c r="CA5" s="241" t="s">
        <v>395</v>
      </c>
      <c r="CB5" s="241" t="s">
        <v>395</v>
      </c>
      <c r="CC5" s="241" t="s">
        <v>395</v>
      </c>
      <c r="CD5" s="241" t="s">
        <v>395</v>
      </c>
      <c r="CE5" s="241" t="s">
        <v>395</v>
      </c>
      <c r="CF5" s="241" t="s">
        <v>395</v>
      </c>
      <c r="CG5" s="241" t="s">
        <v>395</v>
      </c>
      <c r="CH5" s="241" t="s">
        <v>395</v>
      </c>
      <c r="CI5" s="211">
        <f t="shared" si="10"/>
        <v>2.4854802631578785</v>
      </c>
      <c r="CJ5" s="211">
        <f t="shared" si="4"/>
        <v>4.5248486842104967</v>
      </c>
      <c r="CK5" s="211">
        <f t="shared" si="4"/>
        <v>16.569868421052526</v>
      </c>
      <c r="CL5" s="211">
        <f t="shared" si="4"/>
        <v>17.20717105263147</v>
      </c>
      <c r="CM5" s="211">
        <f t="shared" si="4"/>
        <v>42.699276315789199</v>
      </c>
      <c r="CN5" s="211">
        <f t="shared" si="4"/>
        <v>37.600855263157655</v>
      </c>
      <c r="CO5" s="211">
        <f t="shared" si="4"/>
        <v>10.834144736842035</v>
      </c>
      <c r="CP5" s="211">
        <f t="shared" si="4"/>
        <v>131.92164473684124</v>
      </c>
      <c r="CQ5" s="211">
        <f t="shared" si="11"/>
        <v>0.7010328947368375</v>
      </c>
      <c r="CR5" s="211">
        <f t="shared" si="11"/>
        <v>0.63730263157894329</v>
      </c>
      <c r="CS5" s="211">
        <f t="shared" si="11"/>
        <v>0.76476315789473182</v>
      </c>
      <c r="CT5" s="211">
        <f t="shared" si="5"/>
        <v>7.6476315789473184E-2</v>
      </c>
      <c r="CU5" s="211">
        <f t="shared" si="5"/>
        <v>0.11471447368420977</v>
      </c>
      <c r="CV5" s="211">
        <f t="shared" si="5"/>
        <v>7.6476315789473184E-2</v>
      </c>
      <c r="CW5" s="211">
        <f t="shared" si="5"/>
        <v>0.14976611842105167</v>
      </c>
      <c r="CX5" s="211">
        <f t="shared" si="5"/>
        <v>2.2305592105263012</v>
      </c>
      <c r="CY5" s="59" t="s">
        <v>395</v>
      </c>
    </row>
    <row r="6" spans="1:103" s="204" customFormat="1" x14ac:dyDescent="0.3">
      <c r="A6" s="235" t="s">
        <v>79</v>
      </c>
      <c r="B6" s="98" t="s">
        <v>79</v>
      </c>
      <c r="C6" s="236" t="s">
        <v>20</v>
      </c>
      <c r="D6" s="237"/>
      <c r="E6" s="237"/>
      <c r="F6" s="237"/>
      <c r="G6" s="219">
        <v>45497</v>
      </c>
      <c r="H6" s="204">
        <v>2024</v>
      </c>
      <c r="I6" s="237" t="s">
        <v>33</v>
      </c>
      <c r="J6" s="206">
        <v>10</v>
      </c>
      <c r="K6" s="212">
        <v>0.86401974902286804</v>
      </c>
      <c r="L6" s="204" t="s">
        <v>395</v>
      </c>
      <c r="M6" s="193">
        <v>0.33</v>
      </c>
      <c r="N6" s="193">
        <v>0.84</v>
      </c>
      <c r="O6" s="193">
        <v>3.6</v>
      </c>
      <c r="P6" s="193">
        <v>2.5</v>
      </c>
      <c r="Q6" s="193">
        <v>6.3</v>
      </c>
      <c r="R6" s="193">
        <v>6.3</v>
      </c>
      <c r="S6" s="193">
        <v>2.1</v>
      </c>
      <c r="T6" s="195">
        <v>21.970000000000002</v>
      </c>
      <c r="U6" s="207">
        <f t="shared" si="6"/>
        <v>112.67103571428139</v>
      </c>
      <c r="V6" s="208">
        <f>0.5*0.025</f>
        <v>1.2500000000000001E-2</v>
      </c>
      <c r="W6" s="208">
        <v>6.0999999999999999E-2</v>
      </c>
      <c r="X6" s="208">
        <v>3.5999999999999997E-2</v>
      </c>
      <c r="Y6" s="208">
        <v>3.1E-2</v>
      </c>
      <c r="Z6" s="208">
        <f>0.5*0.025</f>
        <v>1.2500000000000001E-2</v>
      </c>
      <c r="AA6" s="240">
        <v>0.01</v>
      </c>
      <c r="AB6" s="239">
        <v>1.9E-2</v>
      </c>
      <c r="AC6" s="196">
        <f>0.5*0.052</f>
        <v>2.5999999999999999E-2</v>
      </c>
      <c r="AD6" s="214">
        <v>0.156</v>
      </c>
      <c r="AE6" s="208">
        <f t="shared" si="0"/>
        <v>0.16949999999999998</v>
      </c>
      <c r="AF6" s="197">
        <v>2.7E-2</v>
      </c>
      <c r="AG6" s="208">
        <f t="shared" si="1"/>
        <v>0.15624642857142257</v>
      </c>
      <c r="AH6" s="215">
        <v>5.3816036036036037</v>
      </c>
      <c r="AI6" s="210">
        <f t="shared" si="7"/>
        <v>7.4999999999999997E-2</v>
      </c>
      <c r="AJ6" s="210">
        <f t="shared" si="12"/>
        <v>7.4999999999999997E-2</v>
      </c>
      <c r="AK6" s="210">
        <f t="shared" si="8"/>
        <v>7.4999999999999997E-2</v>
      </c>
      <c r="AL6" s="210">
        <f t="shared" si="8"/>
        <v>7.4999999999999997E-2</v>
      </c>
      <c r="AM6" s="240">
        <v>5.4738738738738739E-2</v>
      </c>
      <c r="AN6" s="210">
        <v>0.21223423423423424</v>
      </c>
      <c r="AO6" s="210">
        <f>0.5*0.15</f>
        <v>7.4999999999999997E-2</v>
      </c>
      <c r="AP6" s="210">
        <f t="shared" si="2"/>
        <v>7.4999999999999997E-2</v>
      </c>
      <c r="AQ6" s="210">
        <v>0.35589189189189191</v>
      </c>
      <c r="AR6" s="240">
        <v>7.924324324324325E-2</v>
      </c>
      <c r="AS6" s="210">
        <v>0.25010810810810807</v>
      </c>
      <c r="AT6" s="210">
        <f>0.5*0.15</f>
        <v>7.4999999999999997E-2</v>
      </c>
      <c r="AU6" s="240">
        <v>0.11985585585585586</v>
      </c>
      <c r="AV6" s="210">
        <f t="shared" si="9"/>
        <v>7.4999999999999997E-2</v>
      </c>
      <c r="AW6" s="210">
        <f t="shared" si="9"/>
        <v>7.4999999999999997E-2</v>
      </c>
      <c r="AX6" s="210">
        <f t="shared" si="9"/>
        <v>7.4999999999999997E-2</v>
      </c>
      <c r="AY6" s="210">
        <f t="shared" si="9"/>
        <v>7.4999999999999997E-2</v>
      </c>
      <c r="AZ6" s="210">
        <f t="shared" si="13"/>
        <v>7.4999999999999997E-2</v>
      </c>
      <c r="BA6" s="240">
        <v>6.2162162162162159E-2</v>
      </c>
      <c r="BB6" s="240">
        <v>7.8972972972972968E-2</v>
      </c>
      <c r="BC6" s="204" t="s">
        <v>395</v>
      </c>
      <c r="BD6" s="204" t="s">
        <v>395</v>
      </c>
      <c r="BE6" s="204" t="s">
        <v>395</v>
      </c>
      <c r="BF6" s="204" t="s">
        <v>395</v>
      </c>
      <c r="BG6" s="204" t="s">
        <v>395</v>
      </c>
      <c r="BH6" s="204" t="s">
        <v>395</v>
      </c>
      <c r="BI6" s="204" t="s">
        <v>395</v>
      </c>
      <c r="BJ6" s="204" t="s">
        <v>395</v>
      </c>
      <c r="BK6" s="204" t="s">
        <v>395</v>
      </c>
      <c r="BL6" s="204" t="s">
        <v>395</v>
      </c>
      <c r="BM6" s="204" t="s">
        <v>395</v>
      </c>
      <c r="BN6" s="156">
        <v>160</v>
      </c>
      <c r="BO6" s="241" t="s">
        <v>395</v>
      </c>
      <c r="BP6" s="241" t="s">
        <v>395</v>
      </c>
      <c r="BQ6" s="241" t="s">
        <v>395</v>
      </c>
      <c r="BR6" s="241" t="s">
        <v>395</v>
      </c>
      <c r="BS6" s="241" t="s">
        <v>395</v>
      </c>
      <c r="BT6" s="241" t="s">
        <v>395</v>
      </c>
      <c r="BU6" s="241" t="s">
        <v>395</v>
      </c>
      <c r="BV6" s="241" t="s">
        <v>395</v>
      </c>
      <c r="BW6" s="241" t="s">
        <v>395</v>
      </c>
      <c r="BX6" s="241" t="s">
        <v>395</v>
      </c>
      <c r="BY6" s="241" t="s">
        <v>395</v>
      </c>
      <c r="BZ6" s="241" t="s">
        <v>395</v>
      </c>
      <c r="CA6" s="241" t="s">
        <v>395</v>
      </c>
      <c r="CB6" s="241" t="s">
        <v>395</v>
      </c>
      <c r="CC6" s="241" t="s">
        <v>395</v>
      </c>
      <c r="CD6" s="241" t="s">
        <v>395</v>
      </c>
      <c r="CE6" s="241" t="s">
        <v>395</v>
      </c>
      <c r="CF6" s="241" t="s">
        <v>395</v>
      </c>
      <c r="CG6" s="241" t="s">
        <v>395</v>
      </c>
      <c r="CH6" s="241" t="s">
        <v>395</v>
      </c>
      <c r="CI6" s="211">
        <f t="shared" si="10"/>
        <v>1.9096785714284981</v>
      </c>
      <c r="CJ6" s="211">
        <f t="shared" si="4"/>
        <v>4.8609999999998132</v>
      </c>
      <c r="CK6" s="211">
        <f t="shared" si="4"/>
        <v>20.832857142856341</v>
      </c>
      <c r="CL6" s="211">
        <f t="shared" si="4"/>
        <v>14.467261904761347</v>
      </c>
      <c r="CM6" s="211">
        <f t="shared" si="4"/>
        <v>36.457499999998596</v>
      </c>
      <c r="CN6" s="211">
        <f t="shared" si="4"/>
        <v>36.457499999998596</v>
      </c>
      <c r="CO6" s="211">
        <f t="shared" si="4"/>
        <v>12.152499999999533</v>
      </c>
      <c r="CP6" s="211">
        <f t="shared" si="4"/>
        <v>127.13829761904275</v>
      </c>
      <c r="CQ6" s="211">
        <f t="shared" si="11"/>
        <v>0.3530011904761769</v>
      </c>
      <c r="CR6" s="211">
        <f t="shared" si="11"/>
        <v>0.2083285714285634</v>
      </c>
      <c r="CS6" s="211">
        <f t="shared" si="11"/>
        <v>0.17939404761904071</v>
      </c>
      <c r="CT6" s="211">
        <f t="shared" si="5"/>
        <v>7.2336309523806749E-2</v>
      </c>
      <c r="CU6" s="211">
        <f t="shared" si="5"/>
        <v>5.7869047619045391E-2</v>
      </c>
      <c r="CV6" s="211">
        <f t="shared" si="5"/>
        <v>0.10995119047618625</v>
      </c>
      <c r="CW6" s="211">
        <f t="shared" si="5"/>
        <v>0.15045952380951802</v>
      </c>
      <c r="CX6" s="211">
        <f t="shared" si="5"/>
        <v>0.90275714285710817</v>
      </c>
      <c r="CY6" s="59" t="s">
        <v>395</v>
      </c>
    </row>
    <row r="7" spans="1:103" s="204" customFormat="1" x14ac:dyDescent="0.3">
      <c r="A7" s="235" t="s">
        <v>6</v>
      </c>
      <c r="B7" s="98" t="s">
        <v>6</v>
      </c>
      <c r="C7" s="236" t="s">
        <v>20</v>
      </c>
      <c r="D7" s="237"/>
      <c r="E7" s="237"/>
      <c r="F7" s="237"/>
      <c r="G7" s="219">
        <v>45505</v>
      </c>
      <c r="H7" s="204">
        <v>2024</v>
      </c>
      <c r="I7" s="237" t="s">
        <v>33</v>
      </c>
      <c r="J7" s="206">
        <v>10</v>
      </c>
      <c r="K7" s="212">
        <v>0.71652033504892498</v>
      </c>
      <c r="L7" s="204" t="s">
        <v>395</v>
      </c>
      <c r="M7" s="238">
        <v>3.7999999999999999E-2</v>
      </c>
      <c r="N7" s="193">
        <v>0.2</v>
      </c>
      <c r="O7" s="193">
        <v>1.5</v>
      </c>
      <c r="P7" s="193">
        <v>0.98</v>
      </c>
      <c r="Q7" s="193">
        <v>3.1</v>
      </c>
      <c r="R7" s="193">
        <v>2.7</v>
      </c>
      <c r="S7" s="193">
        <v>0.86</v>
      </c>
      <c r="T7" s="194">
        <v>9.3780000000000001</v>
      </c>
      <c r="U7" s="207">
        <f t="shared" si="6"/>
        <v>58.60266338028336</v>
      </c>
      <c r="V7" s="208">
        <f>0.5*0.026</f>
        <v>1.2999999999999999E-2</v>
      </c>
      <c r="W7" s="208">
        <v>9.1999999999999998E-2</v>
      </c>
      <c r="X7" s="208">
        <v>4.9000000000000002E-2</v>
      </c>
      <c r="Y7" s="208">
        <v>5.8999999999999997E-2</v>
      </c>
      <c r="Z7" s="208">
        <f>0.5*0.026</f>
        <v>1.2999999999999999E-2</v>
      </c>
      <c r="AA7" s="239">
        <v>1.0999999999999999E-2</v>
      </c>
      <c r="AB7" s="208">
        <f>0.5*0.026</f>
        <v>1.2999999999999999E-2</v>
      </c>
      <c r="AC7" s="196">
        <f>0.5*0.053</f>
        <v>2.6499999999999999E-2</v>
      </c>
      <c r="AD7" s="209">
        <v>0.21</v>
      </c>
      <c r="AE7" s="208">
        <f t="shared" si="0"/>
        <v>0.23699999999999999</v>
      </c>
      <c r="AF7" s="197">
        <v>0.04</v>
      </c>
      <c r="AG7" s="208">
        <f t="shared" si="1"/>
        <v>0.27912676056338825</v>
      </c>
      <c r="AH7" s="215">
        <v>5.6990610328638498</v>
      </c>
      <c r="AI7" s="200">
        <f t="shared" si="7"/>
        <v>7.4999999999999997E-2</v>
      </c>
      <c r="AJ7" s="200">
        <f t="shared" si="12"/>
        <v>7.4999999999999997E-2</v>
      </c>
      <c r="AK7" s="200">
        <f t="shared" si="8"/>
        <v>7.4999999999999997E-2</v>
      </c>
      <c r="AL7" s="200">
        <f t="shared" si="8"/>
        <v>7.4999999999999997E-2</v>
      </c>
      <c r="AM7" s="240">
        <v>5.6455399061032863E-2</v>
      </c>
      <c r="AN7" s="210">
        <v>0.46988262910798123</v>
      </c>
      <c r="AO7" s="210">
        <f>0.5*0.15</f>
        <v>7.4999999999999997E-2</v>
      </c>
      <c r="AP7" s="210">
        <f t="shared" si="2"/>
        <v>7.4999999999999997E-2</v>
      </c>
      <c r="AQ7" s="210">
        <v>0.28387323943661974</v>
      </c>
      <c r="AR7" s="210">
        <f t="shared" ref="AR7:AR16" si="14">0.5*0.15</f>
        <v>7.4999999999999997E-2</v>
      </c>
      <c r="AS7" s="210">
        <v>0.14830985915492959</v>
      </c>
      <c r="AT7" s="210">
        <f>0.5*0.15</f>
        <v>7.4999999999999997E-2</v>
      </c>
      <c r="AU7" s="210">
        <f t="shared" ref="AU7:AU13" si="15">0.5*0.21</f>
        <v>0.105</v>
      </c>
      <c r="AV7" s="210">
        <f t="shared" si="9"/>
        <v>7.4999999999999997E-2</v>
      </c>
      <c r="AW7" s="210">
        <f t="shared" si="9"/>
        <v>7.4999999999999997E-2</v>
      </c>
      <c r="AX7" s="210">
        <f t="shared" si="9"/>
        <v>7.4999999999999997E-2</v>
      </c>
      <c r="AY7" s="210">
        <f t="shared" si="9"/>
        <v>7.4999999999999997E-2</v>
      </c>
      <c r="AZ7" s="210">
        <f t="shared" si="13"/>
        <v>7.4999999999999997E-2</v>
      </c>
      <c r="BA7" s="210">
        <f>0.5*0.15</f>
        <v>7.4999999999999997E-2</v>
      </c>
      <c r="BB7" s="210">
        <f>0.5*0.15</f>
        <v>7.4999999999999997E-2</v>
      </c>
      <c r="BC7" s="204" t="s">
        <v>395</v>
      </c>
      <c r="BD7" s="204" t="s">
        <v>395</v>
      </c>
      <c r="BE7" s="204" t="s">
        <v>395</v>
      </c>
      <c r="BF7" s="204" t="s">
        <v>395</v>
      </c>
      <c r="BG7" s="204" t="s">
        <v>395</v>
      </c>
      <c r="BH7" s="204" t="s">
        <v>395</v>
      </c>
      <c r="BI7" s="204" t="s">
        <v>395</v>
      </c>
      <c r="BJ7" s="204" t="s">
        <v>395</v>
      </c>
      <c r="BK7" s="204" t="s">
        <v>395</v>
      </c>
      <c r="BL7" s="204" t="s">
        <v>395</v>
      </c>
      <c r="BM7" s="204" t="s">
        <v>395</v>
      </c>
      <c r="BN7" s="156">
        <v>34</v>
      </c>
      <c r="BO7" s="241" t="s">
        <v>395</v>
      </c>
      <c r="BP7" s="241" t="s">
        <v>395</v>
      </c>
      <c r="BQ7" s="241" t="s">
        <v>395</v>
      </c>
      <c r="BR7" s="241" t="s">
        <v>395</v>
      </c>
      <c r="BS7" s="241" t="s">
        <v>395</v>
      </c>
      <c r="BT7" s="241" t="s">
        <v>395</v>
      </c>
      <c r="BU7" s="241" t="s">
        <v>395</v>
      </c>
      <c r="BV7" s="241" t="s">
        <v>395</v>
      </c>
      <c r="BW7" s="241" t="s">
        <v>395</v>
      </c>
      <c r="BX7" s="241" t="s">
        <v>395</v>
      </c>
      <c r="BY7" s="241" t="s">
        <v>395</v>
      </c>
      <c r="BZ7" s="241" t="s">
        <v>395</v>
      </c>
      <c r="CA7" s="241" t="s">
        <v>395</v>
      </c>
      <c r="CB7" s="241" t="s">
        <v>395</v>
      </c>
      <c r="CC7" s="241" t="s">
        <v>395</v>
      </c>
      <c r="CD7" s="241" t="s">
        <v>395</v>
      </c>
      <c r="CE7" s="241" t="s">
        <v>395</v>
      </c>
      <c r="CF7" s="241" t="s">
        <v>395</v>
      </c>
      <c r="CG7" s="241" t="s">
        <v>395</v>
      </c>
      <c r="CH7" s="241" t="s">
        <v>395</v>
      </c>
      <c r="CI7" s="211">
        <f t="shared" si="10"/>
        <v>0.26517042253521883</v>
      </c>
      <c r="CJ7" s="211">
        <f t="shared" si="4"/>
        <v>1.3956338028169413</v>
      </c>
      <c r="CK7" s="211">
        <f t="shared" si="4"/>
        <v>10.467253521127059</v>
      </c>
      <c r="CL7" s="211">
        <f t="shared" si="4"/>
        <v>6.8386056338030121</v>
      </c>
      <c r="CM7" s="211">
        <f t="shared" si="4"/>
        <v>21.632323943662591</v>
      </c>
      <c r="CN7" s="211">
        <f t="shared" si="4"/>
        <v>18.841056338028707</v>
      </c>
      <c r="CO7" s="211">
        <f t="shared" si="4"/>
        <v>6.0012253521128471</v>
      </c>
      <c r="CP7" s="211">
        <f t="shared" si="4"/>
        <v>65.441269014086373</v>
      </c>
      <c r="CQ7" s="211">
        <f t="shared" si="11"/>
        <v>0.64199154929579294</v>
      </c>
      <c r="CR7" s="211">
        <f t="shared" si="11"/>
        <v>0.34193028169015061</v>
      </c>
      <c r="CS7" s="211">
        <f t="shared" si="11"/>
        <v>0.41171197183099761</v>
      </c>
      <c r="CT7" s="211">
        <f t="shared" si="5"/>
        <v>9.0716197183101172E-2</v>
      </c>
      <c r="CU7" s="211">
        <f t="shared" si="5"/>
        <v>7.6759859154931762E-2</v>
      </c>
      <c r="CV7" s="211">
        <f t="shared" si="5"/>
        <v>9.0716197183101172E-2</v>
      </c>
      <c r="CW7" s="211">
        <f t="shared" si="5"/>
        <v>0.1849214788732447</v>
      </c>
      <c r="CX7" s="211">
        <f t="shared" si="5"/>
        <v>1.4654154929577883</v>
      </c>
      <c r="CY7" s="59" t="s">
        <v>395</v>
      </c>
    </row>
    <row r="8" spans="1:103" s="204" customFormat="1" x14ac:dyDescent="0.3">
      <c r="A8" s="235" t="s">
        <v>368</v>
      </c>
      <c r="B8" s="98" t="s">
        <v>368</v>
      </c>
      <c r="C8" s="236" t="s">
        <v>20</v>
      </c>
      <c r="D8" s="237"/>
      <c r="E8" s="237"/>
      <c r="F8" s="237"/>
      <c r="G8" s="219">
        <v>45537</v>
      </c>
      <c r="H8" s="204">
        <v>2024</v>
      </c>
      <c r="I8" s="237" t="s">
        <v>33</v>
      </c>
      <c r="J8" s="206">
        <v>10</v>
      </c>
      <c r="K8" s="212">
        <v>0.89772039540043003</v>
      </c>
      <c r="L8" s="204" t="s">
        <v>395</v>
      </c>
      <c r="M8" s="193">
        <v>0.05</v>
      </c>
      <c r="N8" s="193">
        <v>0.18</v>
      </c>
      <c r="O8" s="193">
        <v>0.25</v>
      </c>
      <c r="P8" s="193">
        <v>0.25</v>
      </c>
      <c r="Q8" s="193">
        <v>0.45</v>
      </c>
      <c r="R8" s="193">
        <v>0.38</v>
      </c>
      <c r="S8" s="193">
        <v>9.1999999999999998E-2</v>
      </c>
      <c r="T8" s="194">
        <v>1.6520000000000001</v>
      </c>
      <c r="U8" s="207">
        <f t="shared" si="6"/>
        <v>7.8086674157304579</v>
      </c>
      <c r="V8" s="208">
        <f>0.5*0.026</f>
        <v>1.2999999999999999E-2</v>
      </c>
      <c r="W8" s="239">
        <v>1.7999999999999999E-2</v>
      </c>
      <c r="X8" s="208">
        <f>0.5*0.021</f>
        <v>1.0500000000000001E-2</v>
      </c>
      <c r="Y8" s="208">
        <f>0.5*0.021</f>
        <v>1.0500000000000001E-2</v>
      </c>
      <c r="Z8" s="208">
        <f>0.5*0.026</f>
        <v>1.2999999999999999E-2</v>
      </c>
      <c r="AA8" s="242">
        <v>8.9999999999999993E-3</v>
      </c>
      <c r="AB8" s="208">
        <f>0.5*0.026</f>
        <v>1.2999999999999999E-2</v>
      </c>
      <c r="AC8" s="214">
        <f>0.5*0.052</f>
        <v>2.5999999999999999E-2</v>
      </c>
      <c r="AD8" s="214">
        <v>2.6999999999999996E-2</v>
      </c>
      <c r="AE8" s="208">
        <f t="shared" si="0"/>
        <v>7.3999999999999996E-2</v>
      </c>
      <c r="AF8" s="197">
        <v>3.0000000000000001E-3</v>
      </c>
      <c r="AG8" s="208">
        <f t="shared" si="1"/>
        <v>1.6708988764045203E-2</v>
      </c>
      <c r="AH8" s="207">
        <v>13.315399061032865</v>
      </c>
      <c r="AI8" s="210">
        <f t="shared" si="7"/>
        <v>7.4999999999999997E-2</v>
      </c>
      <c r="AJ8" s="210">
        <f t="shared" si="12"/>
        <v>7.4999999999999997E-2</v>
      </c>
      <c r="AK8" s="210">
        <f t="shared" si="8"/>
        <v>7.4999999999999997E-2</v>
      </c>
      <c r="AL8" s="210">
        <f t="shared" si="8"/>
        <v>7.4999999999999997E-2</v>
      </c>
      <c r="AM8" s="210">
        <f t="shared" ref="AM8:AM13" si="16">0.5*0.15</f>
        <v>7.4999999999999997E-2</v>
      </c>
      <c r="AN8" s="210">
        <v>0.25734741784037563</v>
      </c>
      <c r="AO8" s="210">
        <f>0.5*0.15</f>
        <v>7.4999999999999997E-2</v>
      </c>
      <c r="AP8" s="210">
        <f t="shared" si="2"/>
        <v>7.4999999999999997E-2</v>
      </c>
      <c r="AQ8" s="210">
        <v>0.22260563380281689</v>
      </c>
      <c r="AR8" s="210">
        <f t="shared" si="14"/>
        <v>7.4999999999999997E-2</v>
      </c>
      <c r="AS8" s="240">
        <v>0.1217605633802817</v>
      </c>
      <c r="AT8" s="210">
        <f>0.5*0.15</f>
        <v>7.4999999999999997E-2</v>
      </c>
      <c r="AU8" s="210">
        <f t="shared" si="15"/>
        <v>0.105</v>
      </c>
      <c r="AV8" s="210">
        <f t="shared" si="9"/>
        <v>7.4999999999999997E-2</v>
      </c>
      <c r="AW8" s="210">
        <f t="shared" si="9"/>
        <v>7.4999999999999997E-2</v>
      </c>
      <c r="AX8" s="210">
        <f t="shared" si="9"/>
        <v>7.4999999999999997E-2</v>
      </c>
      <c r="AY8" s="210">
        <f t="shared" si="9"/>
        <v>7.4999999999999997E-2</v>
      </c>
      <c r="AZ8" s="210">
        <f t="shared" si="13"/>
        <v>7.4999999999999997E-2</v>
      </c>
      <c r="BA8" s="240">
        <v>6.8873239436619715E-2</v>
      </c>
      <c r="BB8" s="210">
        <f t="shared" ref="BB8:BB13" si="17">0.5*0.15</f>
        <v>7.4999999999999997E-2</v>
      </c>
      <c r="BC8" s="204" t="s">
        <v>395</v>
      </c>
      <c r="BD8" s="204" t="s">
        <v>395</v>
      </c>
      <c r="BE8" s="204" t="s">
        <v>395</v>
      </c>
      <c r="BF8" s="204" t="s">
        <v>395</v>
      </c>
      <c r="BG8" s="204" t="s">
        <v>395</v>
      </c>
      <c r="BH8" s="204" t="s">
        <v>395</v>
      </c>
      <c r="BI8" s="204" t="s">
        <v>395</v>
      </c>
      <c r="BJ8" s="204" t="s">
        <v>395</v>
      </c>
      <c r="BK8" s="204" t="s">
        <v>395</v>
      </c>
      <c r="BL8" s="204" t="s">
        <v>395</v>
      </c>
      <c r="BM8" s="204" t="s">
        <v>395</v>
      </c>
      <c r="BN8" s="156">
        <v>55</v>
      </c>
      <c r="BO8" s="241" t="s">
        <v>395</v>
      </c>
      <c r="BP8" s="241" t="s">
        <v>395</v>
      </c>
      <c r="BQ8" s="241" t="s">
        <v>395</v>
      </c>
      <c r="BR8" s="241" t="s">
        <v>395</v>
      </c>
      <c r="BS8" s="241" t="s">
        <v>395</v>
      </c>
      <c r="BT8" s="241" t="s">
        <v>395</v>
      </c>
      <c r="BU8" s="241" t="s">
        <v>395</v>
      </c>
      <c r="BV8" s="241" t="s">
        <v>395</v>
      </c>
      <c r="BW8" s="241" t="s">
        <v>395</v>
      </c>
      <c r="BX8" s="241" t="s">
        <v>395</v>
      </c>
      <c r="BY8" s="241" t="s">
        <v>395</v>
      </c>
      <c r="BZ8" s="241" t="s">
        <v>395</v>
      </c>
      <c r="CA8" s="241" t="s">
        <v>395</v>
      </c>
      <c r="CB8" s="241" t="s">
        <v>395</v>
      </c>
      <c r="CC8" s="241" t="s">
        <v>395</v>
      </c>
      <c r="CD8" s="241" t="s">
        <v>395</v>
      </c>
      <c r="CE8" s="241" t="s">
        <v>395</v>
      </c>
      <c r="CF8" s="241" t="s">
        <v>395</v>
      </c>
      <c r="CG8" s="241" t="s">
        <v>395</v>
      </c>
      <c r="CH8" s="241" t="s">
        <v>395</v>
      </c>
      <c r="CI8" s="211">
        <f t="shared" si="10"/>
        <v>0.27848314606742003</v>
      </c>
      <c r="CJ8" s="211">
        <f t="shared" si="4"/>
        <v>1.002539325842712</v>
      </c>
      <c r="CK8" s="211">
        <f t="shared" si="4"/>
        <v>1.3924157303371001</v>
      </c>
      <c r="CL8" s="211">
        <f t="shared" si="4"/>
        <v>1.3924157303371001</v>
      </c>
      <c r="CM8" s="211">
        <f t="shared" si="4"/>
        <v>2.5063483146067802</v>
      </c>
      <c r="CN8" s="211">
        <f t="shared" si="4"/>
        <v>2.1164719101123923</v>
      </c>
      <c r="CO8" s="211">
        <f t="shared" si="4"/>
        <v>0.51240898876405283</v>
      </c>
      <c r="CP8" s="211">
        <f t="shared" si="4"/>
        <v>9.2010831460675586</v>
      </c>
      <c r="CQ8" s="211">
        <f t="shared" si="11"/>
        <v>0.1002539325842712</v>
      </c>
      <c r="CR8" s="211">
        <f t="shared" si="11"/>
        <v>5.8481460674158207E-2</v>
      </c>
      <c r="CS8" s="211">
        <f t="shared" si="11"/>
        <v>5.8481460674158207E-2</v>
      </c>
      <c r="CT8" s="211">
        <f t="shared" si="5"/>
        <v>7.2405617977529202E-2</v>
      </c>
      <c r="CU8" s="211">
        <f t="shared" si="5"/>
        <v>5.0126966292135602E-2</v>
      </c>
      <c r="CV8" s="211">
        <f t="shared" si="5"/>
        <v>7.2405617977529202E-2</v>
      </c>
      <c r="CW8" s="211">
        <f t="shared" si="5"/>
        <v>0.1448112359550584</v>
      </c>
      <c r="CX8" s="211">
        <f t="shared" si="5"/>
        <v>0.15038089887640679</v>
      </c>
      <c r="CY8" s="59" t="s">
        <v>395</v>
      </c>
    </row>
    <row r="9" spans="1:103" s="204" customFormat="1" x14ac:dyDescent="0.3">
      <c r="A9" s="235" t="s">
        <v>28</v>
      </c>
      <c r="B9" s="98" t="s">
        <v>28</v>
      </c>
      <c r="C9" s="236" t="s">
        <v>20</v>
      </c>
      <c r="D9" s="237"/>
      <c r="E9" s="237"/>
      <c r="F9" s="237"/>
      <c r="G9" s="219">
        <v>45537</v>
      </c>
      <c r="H9" s="204">
        <v>2024</v>
      </c>
      <c r="I9" s="237" t="s">
        <v>33</v>
      </c>
      <c r="J9" s="206">
        <v>10</v>
      </c>
      <c r="K9" s="212">
        <v>0.80024311183144903</v>
      </c>
      <c r="L9" s="204" t="s">
        <v>395</v>
      </c>
      <c r="M9" s="193">
        <v>0.19</v>
      </c>
      <c r="N9" s="193">
        <v>0.31</v>
      </c>
      <c r="O9" s="193">
        <v>1.2</v>
      </c>
      <c r="P9" s="193">
        <v>1.1000000000000001</v>
      </c>
      <c r="Q9" s="193">
        <v>2.5</v>
      </c>
      <c r="R9" s="193">
        <v>2.4</v>
      </c>
      <c r="S9" s="193">
        <v>0.56999999999999995</v>
      </c>
      <c r="T9" s="194">
        <v>8.27</v>
      </c>
      <c r="U9" s="207">
        <f t="shared" si="6"/>
        <v>44.798886075949</v>
      </c>
      <c r="V9" s="208">
        <f>0.5*0.025</f>
        <v>1.2500000000000001E-2</v>
      </c>
      <c r="W9" s="208">
        <v>6.0999999999999999E-2</v>
      </c>
      <c r="X9" s="210">
        <v>0.05</v>
      </c>
      <c r="Y9" s="208">
        <v>5.1999999999999998E-2</v>
      </c>
      <c r="Z9" s="208">
        <f>0.5*0.025</f>
        <v>1.2500000000000001E-2</v>
      </c>
      <c r="AA9" s="239">
        <v>9.2999999999999992E-3</v>
      </c>
      <c r="AB9" s="208">
        <f>0.5*0.025</f>
        <v>1.2500000000000001E-2</v>
      </c>
      <c r="AC9" s="196">
        <f>0.5*0.049</f>
        <v>2.4500000000000001E-2</v>
      </c>
      <c r="AD9" s="209">
        <v>0.17</v>
      </c>
      <c r="AE9" s="208">
        <f t="shared" si="0"/>
        <v>0.1973</v>
      </c>
      <c r="AF9" s="197">
        <v>1.2E-2</v>
      </c>
      <c r="AG9" s="208">
        <f t="shared" si="1"/>
        <v>7.4977215189872812E-2</v>
      </c>
      <c r="AH9" s="215">
        <v>7.4840203562340957</v>
      </c>
      <c r="AI9" s="210">
        <f t="shared" si="7"/>
        <v>7.4999999999999997E-2</v>
      </c>
      <c r="AJ9" s="210">
        <f t="shared" si="12"/>
        <v>7.4999999999999997E-2</v>
      </c>
      <c r="AK9" s="210">
        <f t="shared" si="8"/>
        <v>7.4999999999999997E-2</v>
      </c>
      <c r="AL9" s="210">
        <f t="shared" si="8"/>
        <v>7.4999999999999997E-2</v>
      </c>
      <c r="AM9" s="210">
        <f t="shared" si="16"/>
        <v>7.4999999999999997E-2</v>
      </c>
      <c r="AN9" s="210">
        <v>0.28521628498727736</v>
      </c>
      <c r="AO9" s="210">
        <f>0.5*0.15</f>
        <v>7.4999999999999997E-2</v>
      </c>
      <c r="AP9" s="210">
        <f t="shared" si="2"/>
        <v>7.4999999999999997E-2</v>
      </c>
      <c r="AQ9" s="210">
        <v>0.21992366412213737</v>
      </c>
      <c r="AR9" s="210">
        <f t="shared" si="14"/>
        <v>7.4999999999999997E-2</v>
      </c>
      <c r="AS9" s="210">
        <v>0.23908396946564883</v>
      </c>
      <c r="AT9" s="240">
        <v>0.10465648854961832</v>
      </c>
      <c r="AU9" s="210">
        <f t="shared" si="15"/>
        <v>0.105</v>
      </c>
      <c r="AV9" s="210">
        <f t="shared" si="9"/>
        <v>7.4999999999999997E-2</v>
      </c>
      <c r="AW9" s="210">
        <f t="shared" si="9"/>
        <v>7.4999999999999997E-2</v>
      </c>
      <c r="AX9" s="210">
        <f t="shared" si="9"/>
        <v>7.4999999999999997E-2</v>
      </c>
      <c r="AY9" s="210">
        <f t="shared" si="9"/>
        <v>7.4999999999999997E-2</v>
      </c>
      <c r="AZ9" s="210">
        <f t="shared" si="13"/>
        <v>7.4999999999999997E-2</v>
      </c>
      <c r="BA9" s="240">
        <v>7.2595419847328244E-2</v>
      </c>
      <c r="BB9" s="210">
        <f t="shared" si="17"/>
        <v>7.4999999999999997E-2</v>
      </c>
      <c r="BC9" s="204" t="s">
        <v>395</v>
      </c>
      <c r="BD9" s="204" t="s">
        <v>395</v>
      </c>
      <c r="BE9" s="204" t="s">
        <v>395</v>
      </c>
      <c r="BF9" s="204" t="s">
        <v>395</v>
      </c>
      <c r="BG9" s="204" t="s">
        <v>395</v>
      </c>
      <c r="BH9" s="204" t="s">
        <v>395</v>
      </c>
      <c r="BI9" s="204" t="s">
        <v>395</v>
      </c>
      <c r="BJ9" s="204" t="s">
        <v>395</v>
      </c>
      <c r="BK9" s="204" t="s">
        <v>395</v>
      </c>
      <c r="BL9" s="204" t="s">
        <v>395</v>
      </c>
      <c r="BM9" s="204" t="s">
        <v>395</v>
      </c>
      <c r="BN9" s="156">
        <v>85</v>
      </c>
      <c r="BO9" s="241" t="s">
        <v>395</v>
      </c>
      <c r="BP9" s="241" t="s">
        <v>395</v>
      </c>
      <c r="BQ9" s="241" t="s">
        <v>395</v>
      </c>
      <c r="BR9" s="241" t="s">
        <v>395</v>
      </c>
      <c r="BS9" s="241" t="s">
        <v>395</v>
      </c>
      <c r="BT9" s="241" t="s">
        <v>395</v>
      </c>
      <c r="BU9" s="241" t="s">
        <v>395</v>
      </c>
      <c r="BV9" s="241" t="s">
        <v>395</v>
      </c>
      <c r="BW9" s="241" t="s">
        <v>395</v>
      </c>
      <c r="BX9" s="241" t="s">
        <v>395</v>
      </c>
      <c r="BY9" s="241" t="s">
        <v>395</v>
      </c>
      <c r="BZ9" s="241" t="s">
        <v>395</v>
      </c>
      <c r="CA9" s="241" t="s">
        <v>395</v>
      </c>
      <c r="CB9" s="241" t="s">
        <v>395</v>
      </c>
      <c r="CC9" s="241" t="s">
        <v>395</v>
      </c>
      <c r="CD9" s="241" t="s">
        <v>395</v>
      </c>
      <c r="CE9" s="241" t="s">
        <v>395</v>
      </c>
      <c r="CF9" s="241" t="s">
        <v>395</v>
      </c>
      <c r="CG9" s="241" t="s">
        <v>395</v>
      </c>
      <c r="CH9" s="241" t="s">
        <v>395</v>
      </c>
      <c r="CI9" s="211">
        <f t="shared" si="10"/>
        <v>1.1871392405063195</v>
      </c>
      <c r="CJ9" s="211">
        <f t="shared" si="4"/>
        <v>1.9369113924050474</v>
      </c>
      <c r="CK9" s="211">
        <f t="shared" si="4"/>
        <v>7.4977215189872801</v>
      </c>
      <c r="CL9" s="211">
        <f t="shared" si="4"/>
        <v>6.8729113924050074</v>
      </c>
      <c r="CM9" s="211">
        <f t="shared" si="4"/>
        <v>15.620253164556834</v>
      </c>
      <c r="CN9" s="211">
        <f t="shared" si="4"/>
        <v>14.99544303797456</v>
      </c>
      <c r="CO9" s="211">
        <f t="shared" si="4"/>
        <v>3.561417721518958</v>
      </c>
      <c r="CP9" s="211">
        <f t="shared" si="4"/>
        <v>51.671797468354008</v>
      </c>
      <c r="CQ9" s="211">
        <f t="shared" si="11"/>
        <v>0.38113417721518678</v>
      </c>
      <c r="CR9" s="211">
        <f t="shared" si="11"/>
        <v>0.31240506329113671</v>
      </c>
      <c r="CS9" s="211">
        <f t="shared" si="11"/>
        <v>0.32490126582278211</v>
      </c>
      <c r="CT9" s="211">
        <f t="shared" si="5"/>
        <v>7.8101265822784177E-2</v>
      </c>
      <c r="CU9" s="211">
        <f t="shared" si="5"/>
        <v>5.8107341772151419E-2</v>
      </c>
      <c r="CV9" s="211">
        <f t="shared" si="5"/>
        <v>7.8101265822784177E-2</v>
      </c>
      <c r="CW9" s="211">
        <f t="shared" si="5"/>
        <v>0.15307848101265698</v>
      </c>
      <c r="CX9" s="211">
        <f t="shared" si="5"/>
        <v>1.0621772151898647</v>
      </c>
      <c r="CY9" s="59" t="s">
        <v>395</v>
      </c>
    </row>
    <row r="10" spans="1:103" s="204" customFormat="1" x14ac:dyDescent="0.3">
      <c r="A10" s="235" t="s">
        <v>26</v>
      </c>
      <c r="B10" s="98" t="s">
        <v>26</v>
      </c>
      <c r="C10" s="236" t="s">
        <v>20</v>
      </c>
      <c r="D10" s="237"/>
      <c r="E10" s="237"/>
      <c r="F10" s="237"/>
      <c r="G10" s="219">
        <v>45501</v>
      </c>
      <c r="H10" s="204">
        <v>2024</v>
      </c>
      <c r="I10" s="237" t="s">
        <v>33</v>
      </c>
      <c r="J10" s="206">
        <v>10</v>
      </c>
      <c r="K10" s="212">
        <v>0.73126142595977195</v>
      </c>
      <c r="L10" s="204" t="s">
        <v>395</v>
      </c>
      <c r="M10" s="243">
        <v>0.02</v>
      </c>
      <c r="N10" s="238">
        <v>2.5000000000000001E-2</v>
      </c>
      <c r="O10" s="193">
        <v>0.21</v>
      </c>
      <c r="P10" s="193">
        <v>0.24</v>
      </c>
      <c r="Q10" s="193">
        <v>0.76</v>
      </c>
      <c r="R10" s="193">
        <v>0.73</v>
      </c>
      <c r="S10" s="193">
        <v>0.28999999999999998</v>
      </c>
      <c r="T10" s="194">
        <v>2.2749999999999999</v>
      </c>
      <c r="U10" s="207">
        <f t="shared" si="6"/>
        <v>13.914312500000166</v>
      </c>
      <c r="V10" s="208">
        <f>0.5*0.024</f>
        <v>1.2E-2</v>
      </c>
      <c r="W10" s="239">
        <v>6.8999999999999999E-3</v>
      </c>
      <c r="X10" s="208">
        <f>0.5*0.019</f>
        <v>9.4999999999999998E-3</v>
      </c>
      <c r="Y10" s="208">
        <f>0.5*0.019</f>
        <v>9.4999999999999998E-3</v>
      </c>
      <c r="Z10" s="208">
        <f>0.5*0.024</f>
        <v>1.2E-2</v>
      </c>
      <c r="AA10" s="239">
        <v>1.0999999999999999E-2</v>
      </c>
      <c r="AB10" s="208">
        <f>0.5*0.024</f>
        <v>1.2E-2</v>
      </c>
      <c r="AC10" s="196">
        <f>0.5*0.049</f>
        <v>2.4500000000000001E-2</v>
      </c>
      <c r="AD10" s="214">
        <v>1.7999999999999999E-2</v>
      </c>
      <c r="AE10" s="208">
        <f t="shared" si="0"/>
        <v>6.0899999999999996E-2</v>
      </c>
      <c r="AF10" s="197">
        <v>1.2E-2</v>
      </c>
      <c r="AG10" s="208">
        <f t="shared" si="1"/>
        <v>8.2050000000000969E-2</v>
      </c>
      <c r="AH10" s="215">
        <v>2.2422624302692213</v>
      </c>
      <c r="AI10" s="210">
        <f t="shared" si="7"/>
        <v>7.4999999999999997E-2</v>
      </c>
      <c r="AJ10" s="210">
        <f t="shared" si="12"/>
        <v>7.4999999999999997E-2</v>
      </c>
      <c r="AK10" s="210">
        <f t="shared" si="8"/>
        <v>7.4999999999999997E-2</v>
      </c>
      <c r="AL10" s="210">
        <f t="shared" si="8"/>
        <v>7.4999999999999997E-2</v>
      </c>
      <c r="AM10" s="210">
        <f t="shared" si="16"/>
        <v>7.4999999999999997E-2</v>
      </c>
      <c r="AN10" s="210">
        <v>0.24101309725927719</v>
      </c>
      <c r="AO10" s="240">
        <v>0.10148387096774195</v>
      </c>
      <c r="AP10" s="210">
        <f t="shared" si="2"/>
        <v>7.4999999999999997E-2</v>
      </c>
      <c r="AQ10" s="210">
        <v>0.17256730536017462</v>
      </c>
      <c r="AR10" s="210">
        <f t="shared" si="14"/>
        <v>7.4999999999999997E-2</v>
      </c>
      <c r="AS10" s="210">
        <f>0.5*0.15</f>
        <v>7.4999999999999997E-2</v>
      </c>
      <c r="AT10" s="210">
        <f>0.5*0.15</f>
        <v>7.4999999999999997E-2</v>
      </c>
      <c r="AU10" s="210">
        <f t="shared" si="15"/>
        <v>0.105</v>
      </c>
      <c r="AV10" s="210">
        <f t="shared" si="9"/>
        <v>7.4999999999999997E-2</v>
      </c>
      <c r="AW10" s="210">
        <f t="shared" si="9"/>
        <v>7.4999999999999997E-2</v>
      </c>
      <c r="AX10" s="210">
        <f t="shared" si="9"/>
        <v>7.4999999999999997E-2</v>
      </c>
      <c r="AY10" s="210">
        <f t="shared" si="9"/>
        <v>7.4999999999999997E-2</v>
      </c>
      <c r="AZ10" s="210">
        <f t="shared" si="13"/>
        <v>7.4999999999999997E-2</v>
      </c>
      <c r="BA10" s="240">
        <v>6.0096774193548384E-2</v>
      </c>
      <c r="BB10" s="210">
        <f t="shared" si="17"/>
        <v>7.4999999999999997E-2</v>
      </c>
      <c r="BC10" s="204" t="s">
        <v>395</v>
      </c>
      <c r="BD10" s="204" t="s">
        <v>395</v>
      </c>
      <c r="BE10" s="204" t="s">
        <v>395</v>
      </c>
      <c r="BF10" s="204" t="s">
        <v>395</v>
      </c>
      <c r="BG10" s="204" t="s">
        <v>395</v>
      </c>
      <c r="BH10" s="204" t="s">
        <v>395</v>
      </c>
      <c r="BI10" s="204" t="s">
        <v>395</v>
      </c>
      <c r="BJ10" s="204" t="s">
        <v>395</v>
      </c>
      <c r="BK10" s="204" t="s">
        <v>395</v>
      </c>
      <c r="BL10" s="204" t="s">
        <v>395</v>
      </c>
      <c r="BM10" s="204" t="s">
        <v>395</v>
      </c>
      <c r="BN10" s="156">
        <v>78</v>
      </c>
      <c r="BO10" s="241" t="s">
        <v>395</v>
      </c>
      <c r="BP10" s="241" t="s">
        <v>395</v>
      </c>
      <c r="BQ10" s="241" t="s">
        <v>395</v>
      </c>
      <c r="BR10" s="241" t="s">
        <v>395</v>
      </c>
      <c r="BS10" s="241" t="s">
        <v>395</v>
      </c>
      <c r="BT10" s="241" t="s">
        <v>395</v>
      </c>
      <c r="BU10" s="241" t="s">
        <v>395</v>
      </c>
      <c r="BV10" s="241" t="s">
        <v>395</v>
      </c>
      <c r="BW10" s="241" t="s">
        <v>395</v>
      </c>
      <c r="BX10" s="241" t="s">
        <v>395</v>
      </c>
      <c r="BY10" s="241" t="s">
        <v>395</v>
      </c>
      <c r="BZ10" s="241" t="s">
        <v>395</v>
      </c>
      <c r="CA10" s="241" t="s">
        <v>395</v>
      </c>
      <c r="CB10" s="241" t="s">
        <v>395</v>
      </c>
      <c r="CC10" s="241" t="s">
        <v>395</v>
      </c>
      <c r="CD10" s="241" t="s">
        <v>395</v>
      </c>
      <c r="CE10" s="241" t="s">
        <v>395</v>
      </c>
      <c r="CF10" s="241" t="s">
        <v>395</v>
      </c>
      <c r="CG10" s="241" t="s">
        <v>395</v>
      </c>
      <c r="CH10" s="241" t="s">
        <v>395</v>
      </c>
      <c r="CI10" s="211">
        <f t="shared" si="10"/>
        <v>0.13675000000000162</v>
      </c>
      <c r="CJ10" s="211">
        <f t="shared" si="4"/>
        <v>0.17093750000000205</v>
      </c>
      <c r="CK10" s="211">
        <f t="shared" si="4"/>
        <v>1.4358750000000169</v>
      </c>
      <c r="CL10" s="211">
        <f t="shared" si="4"/>
        <v>1.6410000000000193</v>
      </c>
      <c r="CM10" s="211">
        <f t="shared" si="4"/>
        <v>5.1965000000000616</v>
      </c>
      <c r="CN10" s="211">
        <f t="shared" si="4"/>
        <v>4.9913750000000592</v>
      </c>
      <c r="CO10" s="211">
        <f t="shared" si="4"/>
        <v>1.9828750000000235</v>
      </c>
      <c r="CP10" s="211">
        <f t="shared" si="4"/>
        <v>15.555312500000184</v>
      </c>
      <c r="CQ10" s="211">
        <f t="shared" si="11"/>
        <v>4.7178750000000561E-2</v>
      </c>
      <c r="CR10" s="211">
        <f t="shared" si="11"/>
        <v>6.495625000000077E-2</v>
      </c>
      <c r="CS10" s="211">
        <f t="shared" si="11"/>
        <v>6.495625000000077E-2</v>
      </c>
      <c r="CT10" s="211">
        <f t="shared" si="5"/>
        <v>8.2050000000000969E-2</v>
      </c>
      <c r="CU10" s="211">
        <f t="shared" si="5"/>
        <v>7.521250000000089E-2</v>
      </c>
      <c r="CV10" s="211">
        <f t="shared" si="5"/>
        <v>8.2050000000000969E-2</v>
      </c>
      <c r="CW10" s="211">
        <f t="shared" si="5"/>
        <v>0.16751875000000199</v>
      </c>
      <c r="CX10" s="211">
        <f t="shared" si="5"/>
        <v>0.12307500000000145</v>
      </c>
      <c r="CY10" s="59" t="s">
        <v>395</v>
      </c>
    </row>
    <row r="11" spans="1:103" s="204" customFormat="1" x14ac:dyDescent="0.3">
      <c r="A11" s="235" t="s">
        <v>369</v>
      </c>
      <c r="B11" s="98" t="s">
        <v>369</v>
      </c>
      <c r="C11" s="236" t="s">
        <v>20</v>
      </c>
      <c r="D11" s="237"/>
      <c r="E11" s="237"/>
      <c r="F11" s="237"/>
      <c r="G11" s="219">
        <v>45537</v>
      </c>
      <c r="H11" s="204">
        <v>2024</v>
      </c>
      <c r="I11" s="237" t="s">
        <v>33</v>
      </c>
      <c r="J11" s="206">
        <v>10</v>
      </c>
      <c r="K11" s="244">
        <v>0.85863874345550495</v>
      </c>
      <c r="L11" s="204" t="s">
        <v>395</v>
      </c>
      <c r="M11" s="194">
        <v>2</v>
      </c>
      <c r="N11" s="193">
        <v>6.6</v>
      </c>
      <c r="O11" s="193">
        <v>4.3</v>
      </c>
      <c r="P11" s="193">
        <v>3.3</v>
      </c>
      <c r="Q11" s="193">
        <v>2.6</v>
      </c>
      <c r="R11" s="193">
        <v>2.2999999999999998</v>
      </c>
      <c r="S11" s="193">
        <v>0.76</v>
      </c>
      <c r="T11" s="195">
        <v>21.860000000000003</v>
      </c>
      <c r="U11" s="207">
        <f>SUM(M11,N11,O11,Q11,R11,S11)*(5/K11)</f>
        <v>108.07804878048684</v>
      </c>
      <c r="V11" s="208">
        <f>0.5*0.026</f>
        <v>1.2999999999999999E-2</v>
      </c>
      <c r="W11" s="208">
        <v>2.4E-2</v>
      </c>
      <c r="X11" s="208">
        <f>0.5*0.02</f>
        <v>0.01</v>
      </c>
      <c r="Y11" s="239">
        <v>1.6E-2</v>
      </c>
      <c r="Z11" s="208">
        <f>0.5*0.026</f>
        <v>1.2999999999999999E-2</v>
      </c>
      <c r="AA11" s="239">
        <v>1.0999999999999999E-2</v>
      </c>
      <c r="AB11" s="208">
        <f>0.5*0.026</f>
        <v>1.2999999999999999E-2</v>
      </c>
      <c r="AC11" s="196">
        <f>0.5*0.051</f>
        <v>2.5499999999999998E-2</v>
      </c>
      <c r="AD11" s="214">
        <v>5.1000000000000004E-2</v>
      </c>
      <c r="AE11" s="208">
        <f t="shared" si="0"/>
        <v>8.6999999999999994E-2</v>
      </c>
      <c r="AF11" s="201">
        <v>8.2000000000000007E-3</v>
      </c>
      <c r="AG11" s="208">
        <f t="shared" si="1"/>
        <v>4.7749999999999584E-2</v>
      </c>
      <c r="AH11" s="215">
        <v>8.9148832271762206</v>
      </c>
      <c r="AI11" s="210">
        <f t="shared" si="7"/>
        <v>7.4999999999999997E-2</v>
      </c>
      <c r="AJ11" s="210">
        <f t="shared" si="12"/>
        <v>7.4999999999999997E-2</v>
      </c>
      <c r="AK11" s="210">
        <f t="shared" si="8"/>
        <v>7.4999999999999997E-2</v>
      </c>
      <c r="AL11" s="210">
        <f t="shared" si="8"/>
        <v>7.4999999999999997E-2</v>
      </c>
      <c r="AM11" s="210">
        <f t="shared" si="16"/>
        <v>7.4999999999999997E-2</v>
      </c>
      <c r="AN11" s="210">
        <v>0.16766454352441612</v>
      </c>
      <c r="AO11" s="240">
        <v>7.3821656050955406E-2</v>
      </c>
      <c r="AP11" s="210">
        <f t="shared" si="2"/>
        <v>7.4999999999999997E-2</v>
      </c>
      <c r="AQ11" s="210">
        <v>0.15184713375796177</v>
      </c>
      <c r="AR11" s="210">
        <f t="shared" si="14"/>
        <v>7.4999999999999997E-2</v>
      </c>
      <c r="AS11" s="240">
        <v>6.8152866242038215E-2</v>
      </c>
      <c r="AT11" s="210">
        <f>0.5*0.15</f>
        <v>7.4999999999999997E-2</v>
      </c>
      <c r="AU11" s="210">
        <f t="shared" si="15"/>
        <v>0.105</v>
      </c>
      <c r="AV11" s="210">
        <f t="shared" si="9"/>
        <v>7.4999999999999997E-2</v>
      </c>
      <c r="AW11" s="210">
        <f t="shared" si="9"/>
        <v>7.4999999999999997E-2</v>
      </c>
      <c r="AX11" s="210">
        <f t="shared" si="9"/>
        <v>7.4999999999999997E-2</v>
      </c>
      <c r="AY11" s="210">
        <f t="shared" si="9"/>
        <v>7.4999999999999997E-2</v>
      </c>
      <c r="AZ11" s="240">
        <v>6.0509554140127389E-2</v>
      </c>
      <c r="BA11" s="210">
        <f>0.5*0.15</f>
        <v>7.4999999999999997E-2</v>
      </c>
      <c r="BB11" s="210">
        <f t="shared" si="17"/>
        <v>7.4999999999999997E-2</v>
      </c>
      <c r="BC11" s="204" t="s">
        <v>395</v>
      </c>
      <c r="BD11" s="204" t="s">
        <v>395</v>
      </c>
      <c r="BE11" s="204" t="s">
        <v>395</v>
      </c>
      <c r="BF11" s="204" t="s">
        <v>395</v>
      </c>
      <c r="BG11" s="204" t="s">
        <v>395</v>
      </c>
      <c r="BH11" s="204" t="s">
        <v>395</v>
      </c>
      <c r="BI11" s="204" t="s">
        <v>395</v>
      </c>
      <c r="BJ11" s="204" t="s">
        <v>395</v>
      </c>
      <c r="BK11" s="204" t="s">
        <v>395</v>
      </c>
      <c r="BL11" s="204" t="s">
        <v>395</v>
      </c>
      <c r="BM11" s="204" t="s">
        <v>395</v>
      </c>
      <c r="BN11" s="156">
        <v>82</v>
      </c>
      <c r="BO11" s="241" t="s">
        <v>395</v>
      </c>
      <c r="BP11" s="241" t="s">
        <v>395</v>
      </c>
      <c r="BQ11" s="241" t="s">
        <v>395</v>
      </c>
      <c r="BR11" s="241" t="s">
        <v>395</v>
      </c>
      <c r="BS11" s="241" t="s">
        <v>395</v>
      </c>
      <c r="BT11" s="241" t="s">
        <v>395</v>
      </c>
      <c r="BU11" s="241" t="s">
        <v>395</v>
      </c>
      <c r="BV11" s="241" t="s">
        <v>395</v>
      </c>
      <c r="BW11" s="241" t="s">
        <v>395</v>
      </c>
      <c r="BX11" s="241" t="s">
        <v>395</v>
      </c>
      <c r="BY11" s="241" t="s">
        <v>395</v>
      </c>
      <c r="BZ11" s="241" t="s">
        <v>395</v>
      </c>
      <c r="CA11" s="241" t="s">
        <v>395</v>
      </c>
      <c r="CB11" s="241" t="s">
        <v>395</v>
      </c>
      <c r="CC11" s="241" t="s">
        <v>395</v>
      </c>
      <c r="CD11" s="241" t="s">
        <v>395</v>
      </c>
      <c r="CE11" s="241" t="s">
        <v>395</v>
      </c>
      <c r="CF11" s="241" t="s">
        <v>395</v>
      </c>
      <c r="CG11" s="241" t="s">
        <v>395</v>
      </c>
      <c r="CH11" s="241" t="s">
        <v>395</v>
      </c>
      <c r="CI11" s="211">
        <f t="shared" si="10"/>
        <v>11.646341463414531</v>
      </c>
      <c r="CJ11" s="211">
        <f t="shared" si="4"/>
        <v>38.432926829267949</v>
      </c>
      <c r="CK11" s="211">
        <f t="shared" si="4"/>
        <v>25.039634146341243</v>
      </c>
      <c r="CL11" s="211">
        <f t="shared" si="4"/>
        <v>19.216463414633974</v>
      </c>
      <c r="CM11" s="211">
        <f t="shared" si="4"/>
        <v>15.140243902438892</v>
      </c>
      <c r="CN11" s="211">
        <f t="shared" si="4"/>
        <v>13.39329268292671</v>
      </c>
      <c r="CO11" s="211">
        <f t="shared" si="4"/>
        <v>4.4256097560975221</v>
      </c>
      <c r="CP11" s="211">
        <f t="shared" si="4"/>
        <v>127.29451219512084</v>
      </c>
      <c r="CQ11" s="211">
        <f t="shared" si="11"/>
        <v>0.13975609756097437</v>
      </c>
      <c r="CR11" s="211">
        <f t="shared" si="11"/>
        <v>5.823170731707266E-2</v>
      </c>
      <c r="CS11" s="211">
        <f t="shared" si="11"/>
        <v>9.3170731707316254E-2</v>
      </c>
      <c r="CT11" s="211">
        <f t="shared" si="5"/>
        <v>7.5701219512194454E-2</v>
      </c>
      <c r="CU11" s="211">
        <f t="shared" si="5"/>
        <v>6.405487804877992E-2</v>
      </c>
      <c r="CV11" s="211">
        <f t="shared" si="5"/>
        <v>7.5701219512194454E-2</v>
      </c>
      <c r="CW11" s="211">
        <f t="shared" si="5"/>
        <v>0.14849085365853526</v>
      </c>
      <c r="CX11" s="211">
        <f t="shared" si="5"/>
        <v>0.29698170731707058</v>
      </c>
      <c r="CY11" s="59" t="s">
        <v>395</v>
      </c>
    </row>
    <row r="12" spans="1:103" s="204" customFormat="1" x14ac:dyDescent="0.3">
      <c r="A12" s="235" t="s">
        <v>9</v>
      </c>
      <c r="B12" s="98" t="s">
        <v>9</v>
      </c>
      <c r="C12" s="236" t="s">
        <v>20</v>
      </c>
      <c r="D12" s="237"/>
      <c r="E12" s="237"/>
      <c r="F12" s="237"/>
      <c r="G12" s="219">
        <v>45499</v>
      </c>
      <c r="H12" s="204">
        <v>2024</v>
      </c>
      <c r="I12" s="237" t="s">
        <v>33</v>
      </c>
      <c r="J12" s="206">
        <v>10</v>
      </c>
      <c r="K12" s="212">
        <v>0.78224101479917096</v>
      </c>
      <c r="L12" s="204" t="s">
        <v>395</v>
      </c>
      <c r="M12" s="238">
        <v>1.6E-2</v>
      </c>
      <c r="N12" s="193">
        <v>4.9000000000000002E-2</v>
      </c>
      <c r="O12" s="193">
        <v>0.78</v>
      </c>
      <c r="P12" s="193">
        <v>0.61</v>
      </c>
      <c r="Q12" s="193">
        <v>3.6</v>
      </c>
      <c r="R12" s="193">
        <v>2.6</v>
      </c>
      <c r="S12" s="193">
        <v>1.3</v>
      </c>
      <c r="T12" s="194">
        <v>8.9550000000000001</v>
      </c>
      <c r="U12" s="207">
        <f t="shared" si="6"/>
        <v>53.340337837836707</v>
      </c>
      <c r="V12" s="208">
        <f>0.5*0.025</f>
        <v>1.2500000000000001E-2</v>
      </c>
      <c r="W12" s="208">
        <v>5.3999999999999999E-2</v>
      </c>
      <c r="X12" s="208">
        <v>6.3E-2</v>
      </c>
      <c r="Y12" s="239">
        <v>1.0999999999999999E-2</v>
      </c>
      <c r="Z12" s="208">
        <f>0.5*0.025</f>
        <v>1.2500000000000001E-2</v>
      </c>
      <c r="AA12" s="240">
        <v>0.01</v>
      </c>
      <c r="AB12" s="239">
        <v>1.2E-2</v>
      </c>
      <c r="AC12" s="196">
        <f>0.5*0.05</f>
        <v>2.5000000000000001E-2</v>
      </c>
      <c r="AD12" s="209">
        <v>0.15000000000000002</v>
      </c>
      <c r="AE12" s="208">
        <f t="shared" si="0"/>
        <v>0.16250000000000003</v>
      </c>
      <c r="AF12" s="202">
        <v>8.6999999999999994E-3</v>
      </c>
      <c r="AG12" s="208">
        <f t="shared" si="1"/>
        <v>5.5609459459458277E-2</v>
      </c>
      <c r="AH12" s="215">
        <v>1.4370599250936329</v>
      </c>
      <c r="AI12" s="210">
        <f t="shared" si="7"/>
        <v>7.4999999999999997E-2</v>
      </c>
      <c r="AJ12" s="210">
        <f t="shared" si="12"/>
        <v>7.4999999999999997E-2</v>
      </c>
      <c r="AK12" s="210">
        <f t="shared" si="8"/>
        <v>7.4999999999999997E-2</v>
      </c>
      <c r="AL12" s="210">
        <f t="shared" si="8"/>
        <v>7.4999999999999997E-2</v>
      </c>
      <c r="AM12" s="210">
        <f t="shared" si="16"/>
        <v>7.4999999999999997E-2</v>
      </c>
      <c r="AN12" s="210">
        <v>0.30838951310861418</v>
      </c>
      <c r="AO12" s="240">
        <v>7.258426966292135E-2</v>
      </c>
      <c r="AP12" s="210">
        <f t="shared" si="2"/>
        <v>7.4999999999999997E-2</v>
      </c>
      <c r="AQ12" s="210">
        <v>0.21101123595505616</v>
      </c>
      <c r="AR12" s="210">
        <f t="shared" si="14"/>
        <v>7.4999999999999997E-2</v>
      </c>
      <c r="AS12" s="240">
        <v>0.11814606741573033</v>
      </c>
      <c r="AT12" s="210">
        <f>0.5*0.15</f>
        <v>7.4999999999999997E-2</v>
      </c>
      <c r="AU12" s="210">
        <f t="shared" si="15"/>
        <v>0.105</v>
      </c>
      <c r="AV12" s="210">
        <f t="shared" si="9"/>
        <v>7.4999999999999997E-2</v>
      </c>
      <c r="AW12" s="210">
        <f t="shared" si="9"/>
        <v>7.4999999999999997E-2</v>
      </c>
      <c r="AX12" s="210">
        <f t="shared" si="9"/>
        <v>7.4999999999999997E-2</v>
      </c>
      <c r="AY12" s="210">
        <f t="shared" si="9"/>
        <v>7.4999999999999997E-2</v>
      </c>
      <c r="AZ12" s="210">
        <f>0.5*0.15</f>
        <v>7.4999999999999997E-2</v>
      </c>
      <c r="BA12" s="210">
        <f>0.5*0.15</f>
        <v>7.4999999999999997E-2</v>
      </c>
      <c r="BB12" s="210">
        <f t="shared" si="17"/>
        <v>7.4999999999999997E-2</v>
      </c>
      <c r="BC12" s="204" t="s">
        <v>395</v>
      </c>
      <c r="BD12" s="204" t="s">
        <v>395</v>
      </c>
      <c r="BE12" s="204" t="s">
        <v>395</v>
      </c>
      <c r="BF12" s="204" t="s">
        <v>395</v>
      </c>
      <c r="BG12" s="204" t="s">
        <v>395</v>
      </c>
      <c r="BH12" s="204" t="s">
        <v>395</v>
      </c>
      <c r="BI12" s="204" t="s">
        <v>395</v>
      </c>
      <c r="BJ12" s="204" t="s">
        <v>395</v>
      </c>
      <c r="BK12" s="204" t="s">
        <v>395</v>
      </c>
      <c r="BL12" s="204" t="s">
        <v>395</v>
      </c>
      <c r="BM12" s="204" t="s">
        <v>395</v>
      </c>
      <c r="BN12" s="156">
        <v>42</v>
      </c>
      <c r="BO12" s="241" t="s">
        <v>395</v>
      </c>
      <c r="BP12" s="241" t="s">
        <v>395</v>
      </c>
      <c r="BQ12" s="241" t="s">
        <v>395</v>
      </c>
      <c r="BR12" s="241" t="s">
        <v>395</v>
      </c>
      <c r="BS12" s="241" t="s">
        <v>395</v>
      </c>
      <c r="BT12" s="241" t="s">
        <v>395</v>
      </c>
      <c r="BU12" s="241" t="s">
        <v>395</v>
      </c>
      <c r="BV12" s="241" t="s">
        <v>395</v>
      </c>
      <c r="BW12" s="241" t="s">
        <v>395</v>
      </c>
      <c r="BX12" s="241" t="s">
        <v>395</v>
      </c>
      <c r="BY12" s="241" t="s">
        <v>395</v>
      </c>
      <c r="BZ12" s="241" t="s">
        <v>395</v>
      </c>
      <c r="CA12" s="241" t="s">
        <v>395</v>
      </c>
      <c r="CB12" s="241" t="s">
        <v>395</v>
      </c>
      <c r="CC12" s="241" t="s">
        <v>395</v>
      </c>
      <c r="CD12" s="241" t="s">
        <v>395</v>
      </c>
      <c r="CE12" s="241" t="s">
        <v>395</v>
      </c>
      <c r="CF12" s="241" t="s">
        <v>395</v>
      </c>
      <c r="CG12" s="241" t="s">
        <v>395</v>
      </c>
      <c r="CH12" s="241" t="s">
        <v>395</v>
      </c>
      <c r="CI12" s="211">
        <f t="shared" si="10"/>
        <v>0.1022702702702681</v>
      </c>
      <c r="CJ12" s="211">
        <f t="shared" si="4"/>
        <v>0.31320270270269607</v>
      </c>
      <c r="CK12" s="211">
        <f t="shared" si="4"/>
        <v>4.9856756756755702</v>
      </c>
      <c r="CL12" s="211">
        <f t="shared" si="4"/>
        <v>3.8990540540539711</v>
      </c>
      <c r="CM12" s="211">
        <f t="shared" si="4"/>
        <v>23.010810810810323</v>
      </c>
      <c r="CN12" s="211">
        <f t="shared" si="4"/>
        <v>16.618918918918567</v>
      </c>
      <c r="CO12" s="211">
        <f t="shared" si="4"/>
        <v>8.3094594594592834</v>
      </c>
      <c r="CP12" s="211">
        <f t="shared" si="4"/>
        <v>57.239391891890676</v>
      </c>
      <c r="CQ12" s="211">
        <f t="shared" si="11"/>
        <v>0.34516216216215484</v>
      </c>
      <c r="CR12" s="211">
        <f t="shared" si="11"/>
        <v>0.40268918918918062</v>
      </c>
      <c r="CS12" s="211">
        <f t="shared" si="11"/>
        <v>7.031081081080931E-2</v>
      </c>
      <c r="CT12" s="211">
        <f t="shared" si="5"/>
        <v>7.9898648648646958E-2</v>
      </c>
      <c r="CU12" s="211">
        <f t="shared" si="5"/>
        <v>6.3918918918917558E-2</v>
      </c>
      <c r="CV12" s="211">
        <f t="shared" si="5"/>
        <v>7.6702702702701075E-2</v>
      </c>
      <c r="CW12" s="211">
        <f t="shared" si="5"/>
        <v>0.15979729729729392</v>
      </c>
      <c r="CX12" s="211">
        <f t="shared" si="5"/>
        <v>0.95878378378376361</v>
      </c>
      <c r="CY12" s="59" t="s">
        <v>395</v>
      </c>
    </row>
    <row r="13" spans="1:103" s="204" customFormat="1" x14ac:dyDescent="0.3">
      <c r="A13" s="235" t="s">
        <v>112</v>
      </c>
      <c r="B13" s="98" t="s">
        <v>112</v>
      </c>
      <c r="C13" s="236" t="s">
        <v>20</v>
      </c>
      <c r="D13" s="237"/>
      <c r="E13" s="237"/>
      <c r="F13" s="237"/>
      <c r="G13" s="219">
        <v>45498</v>
      </c>
      <c r="H13" s="204">
        <v>2024</v>
      </c>
      <c r="I13" s="237" t="s">
        <v>33</v>
      </c>
      <c r="J13" s="206">
        <v>10</v>
      </c>
      <c r="K13" s="212">
        <v>0.99427538415185501</v>
      </c>
      <c r="L13" s="204" t="s">
        <v>395</v>
      </c>
      <c r="M13" s="193">
        <v>0.45</v>
      </c>
      <c r="N13" s="193">
        <v>1.1000000000000001</v>
      </c>
      <c r="O13" s="193">
        <v>4.2</v>
      </c>
      <c r="P13" s="193">
        <v>3.1</v>
      </c>
      <c r="Q13" s="193">
        <v>7.2</v>
      </c>
      <c r="R13" s="193">
        <v>6.9</v>
      </c>
      <c r="S13" s="193">
        <v>1.9</v>
      </c>
      <c r="T13" s="195">
        <v>24.85</v>
      </c>
      <c r="U13" s="207">
        <f t="shared" si="6"/>
        <v>109.37613636363614</v>
      </c>
      <c r="V13" s="208">
        <f>0.5*0.026</f>
        <v>1.2999999999999999E-2</v>
      </c>
      <c r="W13" s="208">
        <v>8.8999999999999996E-2</v>
      </c>
      <c r="X13" s="208">
        <v>8.1000000000000003E-2</v>
      </c>
      <c r="Y13" s="208">
        <v>6.6000000000000003E-2</v>
      </c>
      <c r="Z13" s="208">
        <f>0.5*0.026</f>
        <v>1.2999999999999999E-2</v>
      </c>
      <c r="AA13" s="239">
        <v>1.0999999999999999E-2</v>
      </c>
      <c r="AB13" s="239">
        <v>1.2999999999999999E-2</v>
      </c>
      <c r="AC13" s="196">
        <f>0.5*0.051</f>
        <v>2.5499999999999998E-2</v>
      </c>
      <c r="AD13" s="209">
        <v>0.26</v>
      </c>
      <c r="AE13" s="208">
        <f t="shared" si="0"/>
        <v>0.27300000000000002</v>
      </c>
      <c r="AF13" s="197">
        <v>2.8000000000000001E-2</v>
      </c>
      <c r="AG13" s="208">
        <f t="shared" si="1"/>
        <v>0.14080606060606032</v>
      </c>
      <c r="AH13" s="215">
        <v>7.2346717171717172</v>
      </c>
      <c r="AI13" s="210">
        <f t="shared" si="7"/>
        <v>7.4999999999999997E-2</v>
      </c>
      <c r="AJ13" s="210">
        <f t="shared" si="12"/>
        <v>7.4999999999999997E-2</v>
      </c>
      <c r="AK13" s="210">
        <f t="shared" si="8"/>
        <v>7.4999999999999997E-2</v>
      </c>
      <c r="AL13" s="210">
        <f t="shared" si="8"/>
        <v>7.4999999999999997E-2</v>
      </c>
      <c r="AM13" s="210">
        <f t="shared" si="16"/>
        <v>7.4999999999999997E-2</v>
      </c>
      <c r="AN13" s="210">
        <v>0.28108585858585855</v>
      </c>
      <c r="AO13" s="240">
        <v>7.1363636363636351E-2</v>
      </c>
      <c r="AP13" s="210">
        <f t="shared" si="2"/>
        <v>7.4999999999999997E-2</v>
      </c>
      <c r="AQ13" s="210">
        <v>0.38310606060606062</v>
      </c>
      <c r="AR13" s="210">
        <f t="shared" si="14"/>
        <v>7.4999999999999997E-2</v>
      </c>
      <c r="AS13" s="210">
        <v>0.43189393939393939</v>
      </c>
      <c r="AT13" s="210">
        <f>0.5*0.15</f>
        <v>7.4999999999999997E-2</v>
      </c>
      <c r="AU13" s="210">
        <f t="shared" si="15"/>
        <v>0.105</v>
      </c>
      <c r="AV13" s="210">
        <f t="shared" si="9"/>
        <v>7.4999999999999997E-2</v>
      </c>
      <c r="AW13" s="210">
        <f t="shared" si="9"/>
        <v>7.4999999999999997E-2</v>
      </c>
      <c r="AX13" s="210">
        <f t="shared" si="9"/>
        <v>7.4999999999999997E-2</v>
      </c>
      <c r="AY13" s="210">
        <f t="shared" si="9"/>
        <v>7.4999999999999997E-2</v>
      </c>
      <c r="AZ13" s="210">
        <f>0.5*0.15</f>
        <v>7.4999999999999997E-2</v>
      </c>
      <c r="BA13" s="210">
        <f>0.5*0.15</f>
        <v>7.4999999999999997E-2</v>
      </c>
      <c r="BB13" s="210">
        <f t="shared" si="17"/>
        <v>7.4999999999999997E-2</v>
      </c>
      <c r="BC13" s="204" t="s">
        <v>395</v>
      </c>
      <c r="BD13" s="204" t="s">
        <v>395</v>
      </c>
      <c r="BE13" s="204" t="s">
        <v>395</v>
      </c>
      <c r="BF13" s="204" t="s">
        <v>395</v>
      </c>
      <c r="BG13" s="204" t="s">
        <v>395</v>
      </c>
      <c r="BH13" s="204" t="s">
        <v>395</v>
      </c>
      <c r="BI13" s="204" t="s">
        <v>395</v>
      </c>
      <c r="BJ13" s="204" t="s">
        <v>395</v>
      </c>
      <c r="BK13" s="204" t="s">
        <v>395</v>
      </c>
      <c r="BL13" s="204" t="s">
        <v>395</v>
      </c>
      <c r="BM13" s="204" t="s">
        <v>395</v>
      </c>
      <c r="BN13" s="156">
        <v>30</v>
      </c>
      <c r="BO13" s="241" t="s">
        <v>395</v>
      </c>
      <c r="BP13" s="241" t="s">
        <v>395</v>
      </c>
      <c r="BQ13" s="241" t="s">
        <v>395</v>
      </c>
      <c r="BR13" s="241" t="s">
        <v>395</v>
      </c>
      <c r="BS13" s="241" t="s">
        <v>395</v>
      </c>
      <c r="BT13" s="241" t="s">
        <v>395</v>
      </c>
      <c r="BU13" s="241" t="s">
        <v>395</v>
      </c>
      <c r="BV13" s="241" t="s">
        <v>395</v>
      </c>
      <c r="BW13" s="241" t="s">
        <v>395</v>
      </c>
      <c r="BX13" s="241" t="s">
        <v>395</v>
      </c>
      <c r="BY13" s="241" t="s">
        <v>395</v>
      </c>
      <c r="BZ13" s="241" t="s">
        <v>395</v>
      </c>
      <c r="CA13" s="241" t="s">
        <v>395</v>
      </c>
      <c r="CB13" s="241" t="s">
        <v>395</v>
      </c>
      <c r="CC13" s="241" t="s">
        <v>395</v>
      </c>
      <c r="CD13" s="241" t="s">
        <v>395</v>
      </c>
      <c r="CE13" s="241" t="s">
        <v>395</v>
      </c>
      <c r="CF13" s="241" t="s">
        <v>395</v>
      </c>
      <c r="CG13" s="241" t="s">
        <v>395</v>
      </c>
      <c r="CH13" s="241" t="s">
        <v>395</v>
      </c>
      <c r="CI13" s="211">
        <f t="shared" si="10"/>
        <v>2.2629545454545408</v>
      </c>
      <c r="CJ13" s="211">
        <f t="shared" si="4"/>
        <v>5.5316666666666556</v>
      </c>
      <c r="CK13" s="211">
        <f t="shared" si="4"/>
        <v>21.120909090909048</v>
      </c>
      <c r="CL13" s="211">
        <f t="shared" si="4"/>
        <v>15.589242424242393</v>
      </c>
      <c r="CM13" s="211">
        <f t="shared" si="4"/>
        <v>36.207272727272652</v>
      </c>
      <c r="CN13" s="211">
        <f t="shared" si="4"/>
        <v>34.698636363636297</v>
      </c>
      <c r="CO13" s="211">
        <f t="shared" si="4"/>
        <v>9.5546969696969501</v>
      </c>
      <c r="CP13" s="211">
        <f t="shared" si="4"/>
        <v>124.96537878787854</v>
      </c>
      <c r="CQ13" s="211">
        <f t="shared" si="11"/>
        <v>0.4475621212121203</v>
      </c>
      <c r="CR13" s="211">
        <f t="shared" si="11"/>
        <v>0.40733181818181735</v>
      </c>
      <c r="CS13" s="211">
        <f t="shared" si="11"/>
        <v>0.33189999999999936</v>
      </c>
      <c r="CT13" s="211">
        <f t="shared" si="5"/>
        <v>6.5374242424242293E-2</v>
      </c>
      <c r="CU13" s="211">
        <f t="shared" si="5"/>
        <v>5.5316666666666549E-2</v>
      </c>
      <c r="CV13" s="211">
        <f t="shared" si="5"/>
        <v>6.5374242424242293E-2</v>
      </c>
      <c r="CW13" s="211">
        <f t="shared" si="5"/>
        <v>0.12823409090909063</v>
      </c>
      <c r="CX13" s="211">
        <f t="shared" si="5"/>
        <v>1.3074848484848458</v>
      </c>
      <c r="CY13" s="59" t="s">
        <v>395</v>
      </c>
    </row>
    <row r="14" spans="1:103" s="204" customFormat="1" x14ac:dyDescent="0.3">
      <c r="A14" s="235" t="s">
        <v>23</v>
      </c>
      <c r="B14" s="98" t="s">
        <v>23</v>
      </c>
      <c r="C14" s="236" t="s">
        <v>20</v>
      </c>
      <c r="D14" s="237"/>
      <c r="E14" s="237"/>
      <c r="F14" s="237"/>
      <c r="G14" s="219">
        <v>45497</v>
      </c>
      <c r="H14" s="204">
        <v>2024</v>
      </c>
      <c r="I14" s="237" t="s">
        <v>33</v>
      </c>
      <c r="J14" s="206">
        <v>10</v>
      </c>
      <c r="K14" s="212">
        <v>0.91351405024329602</v>
      </c>
      <c r="L14" s="204" t="s">
        <v>395</v>
      </c>
      <c r="M14" s="193">
        <v>0.27</v>
      </c>
      <c r="N14" s="193">
        <v>1.6</v>
      </c>
      <c r="O14" s="193">
        <v>5.4</v>
      </c>
      <c r="P14" s="193">
        <v>3.9</v>
      </c>
      <c r="Q14" s="193">
        <v>7.9</v>
      </c>
      <c r="R14" s="193">
        <v>7.9</v>
      </c>
      <c r="S14" s="193">
        <v>2.2999999999999998</v>
      </c>
      <c r="T14" s="195">
        <v>29.27</v>
      </c>
      <c r="U14" s="207">
        <f t="shared" si="6"/>
        <v>138.85938586956169</v>
      </c>
      <c r="V14" s="208">
        <f>0.5*0.024</f>
        <v>1.2E-2</v>
      </c>
      <c r="W14" s="208">
        <v>4.8000000000000001E-2</v>
      </c>
      <c r="X14" s="208">
        <v>4.4999999999999998E-2</v>
      </c>
      <c r="Y14" s="208">
        <v>2.5000000000000001E-2</v>
      </c>
      <c r="Z14" s="208">
        <f>0.5*0.024</f>
        <v>1.2E-2</v>
      </c>
      <c r="AA14" s="240">
        <v>0.01</v>
      </c>
      <c r="AB14" s="239">
        <v>8.8000000000000005E-3</v>
      </c>
      <c r="AC14" s="196">
        <f>0.5*0.048</f>
        <v>2.4E-2</v>
      </c>
      <c r="AD14" s="209">
        <v>0.14000000000000001</v>
      </c>
      <c r="AE14" s="208">
        <f t="shared" si="0"/>
        <v>0.14880000000000002</v>
      </c>
      <c r="AF14" s="197">
        <v>6.7000000000000004E-2</v>
      </c>
      <c r="AG14" s="208">
        <f t="shared" si="1"/>
        <v>0.36671576086955587</v>
      </c>
      <c r="AH14" s="207">
        <v>40.37095970443616</v>
      </c>
      <c r="AI14" s="210">
        <f t="shared" si="7"/>
        <v>7.4999999999999997E-2</v>
      </c>
      <c r="AJ14" s="210">
        <f t="shared" si="12"/>
        <v>7.4999999999999997E-2</v>
      </c>
      <c r="AK14" s="210">
        <f t="shared" si="8"/>
        <v>7.4999999999999997E-2</v>
      </c>
      <c r="AL14" s="210">
        <f t="shared" si="8"/>
        <v>7.4999999999999997E-2</v>
      </c>
      <c r="AM14" s="240">
        <v>8.5999824390771057E-2</v>
      </c>
      <c r="AN14" s="210">
        <v>1.4698262819473713</v>
      </c>
      <c r="AO14" s="210">
        <v>0.41472382071648561</v>
      </c>
      <c r="AP14" s="210">
        <f t="shared" si="2"/>
        <v>7.4999999999999997E-2</v>
      </c>
      <c r="AQ14" s="210">
        <v>1.3473340492786512</v>
      </c>
      <c r="AR14" s="210">
        <f t="shared" si="14"/>
        <v>7.4999999999999997E-2</v>
      </c>
      <c r="AS14" s="210">
        <v>1.4927824606905493</v>
      </c>
      <c r="AT14" s="210">
        <v>0.21787242664937589</v>
      </c>
      <c r="AU14" s="240">
        <v>7.4279731993299833E-2</v>
      </c>
      <c r="AV14" s="210">
        <f t="shared" si="9"/>
        <v>7.4999999999999997E-2</v>
      </c>
      <c r="AW14" s="210">
        <f t="shared" si="9"/>
        <v>7.4999999999999997E-2</v>
      </c>
      <c r="AX14" s="210">
        <f t="shared" si="9"/>
        <v>7.4999999999999997E-2</v>
      </c>
      <c r="AY14" s="210">
        <f t="shared" si="9"/>
        <v>7.4999999999999997E-2</v>
      </c>
      <c r="AZ14" s="240">
        <v>6.8346774193548385E-2</v>
      </c>
      <c r="BA14" s="240">
        <v>6.4233870967741941E-2</v>
      </c>
      <c r="BB14" s="240">
        <v>5.8492462311557789E-2</v>
      </c>
      <c r="BC14" s="204" t="s">
        <v>395</v>
      </c>
      <c r="BD14" s="204" t="s">
        <v>395</v>
      </c>
      <c r="BE14" s="204" t="s">
        <v>395</v>
      </c>
      <c r="BF14" s="204" t="s">
        <v>395</v>
      </c>
      <c r="BG14" s="204" t="s">
        <v>395</v>
      </c>
      <c r="BH14" s="204" t="s">
        <v>395</v>
      </c>
      <c r="BI14" s="204" t="s">
        <v>395</v>
      </c>
      <c r="BJ14" s="204" t="s">
        <v>395</v>
      </c>
      <c r="BK14" s="204" t="s">
        <v>395</v>
      </c>
      <c r="BL14" s="204" t="s">
        <v>395</v>
      </c>
      <c r="BM14" s="204" t="s">
        <v>395</v>
      </c>
      <c r="BN14" s="156">
        <v>130</v>
      </c>
      <c r="BO14" s="241" t="s">
        <v>395</v>
      </c>
      <c r="BP14" s="241" t="s">
        <v>395</v>
      </c>
      <c r="BQ14" s="241" t="s">
        <v>395</v>
      </c>
      <c r="BR14" s="241" t="s">
        <v>395</v>
      </c>
      <c r="BS14" s="241" t="s">
        <v>395</v>
      </c>
      <c r="BT14" s="241" t="s">
        <v>395</v>
      </c>
      <c r="BU14" s="241" t="s">
        <v>395</v>
      </c>
      <c r="BV14" s="241" t="s">
        <v>395</v>
      </c>
      <c r="BW14" s="241" t="s">
        <v>395</v>
      </c>
      <c r="BX14" s="241" t="s">
        <v>395</v>
      </c>
      <c r="BY14" s="241" t="s">
        <v>395</v>
      </c>
      <c r="BZ14" s="241" t="s">
        <v>395</v>
      </c>
      <c r="CA14" s="241" t="s">
        <v>395</v>
      </c>
      <c r="CB14" s="241" t="s">
        <v>395</v>
      </c>
      <c r="CC14" s="241" t="s">
        <v>395</v>
      </c>
      <c r="CD14" s="241" t="s">
        <v>395</v>
      </c>
      <c r="CE14" s="241" t="s">
        <v>395</v>
      </c>
      <c r="CF14" s="241" t="s">
        <v>395</v>
      </c>
      <c r="CG14" s="241" t="s">
        <v>395</v>
      </c>
      <c r="CH14" s="241" t="s">
        <v>395</v>
      </c>
      <c r="CI14" s="211">
        <f t="shared" si="10"/>
        <v>1.477809782608658</v>
      </c>
      <c r="CJ14" s="211">
        <f t="shared" si="4"/>
        <v>8.7573913043476033</v>
      </c>
      <c r="CK14" s="211">
        <f t="shared" si="4"/>
        <v>29.556195652173159</v>
      </c>
      <c r="CL14" s="211">
        <f t="shared" si="4"/>
        <v>21.346141304347281</v>
      </c>
      <c r="CM14" s="211">
        <f t="shared" si="4"/>
        <v>43.239619565216287</v>
      </c>
      <c r="CN14" s="211">
        <f t="shared" si="4"/>
        <v>43.239619565216287</v>
      </c>
      <c r="CO14" s="211">
        <f t="shared" si="4"/>
        <v>12.588749999999678</v>
      </c>
      <c r="CP14" s="211">
        <f t="shared" si="4"/>
        <v>160.20552717390896</v>
      </c>
      <c r="CQ14" s="211">
        <f t="shared" si="11"/>
        <v>0.26272173913042807</v>
      </c>
      <c r="CR14" s="211">
        <f t="shared" si="11"/>
        <v>0.24630163043477632</v>
      </c>
      <c r="CS14" s="211">
        <f t="shared" si="11"/>
        <v>0.1368342391304313</v>
      </c>
      <c r="CT14" s="211">
        <f t="shared" si="5"/>
        <v>6.5680434782607017E-2</v>
      </c>
      <c r="CU14" s="211">
        <f t="shared" si="5"/>
        <v>5.4733695652172516E-2</v>
      </c>
      <c r="CV14" s="211">
        <f t="shared" si="5"/>
        <v>4.8165652173911819E-2</v>
      </c>
      <c r="CW14" s="211">
        <f t="shared" si="5"/>
        <v>0.13136086956521403</v>
      </c>
      <c r="CX14" s="211">
        <f t="shared" si="5"/>
        <v>0.76627173913041524</v>
      </c>
      <c r="CY14" s="59" t="s">
        <v>395</v>
      </c>
    </row>
    <row r="15" spans="1:103" s="204" customFormat="1" x14ac:dyDescent="0.3">
      <c r="A15" s="235" t="s">
        <v>167</v>
      </c>
      <c r="B15" s="98" t="s">
        <v>167</v>
      </c>
      <c r="C15" s="236" t="s">
        <v>20</v>
      </c>
      <c r="D15" s="237"/>
      <c r="E15" s="237"/>
      <c r="F15" s="237"/>
      <c r="G15" s="219">
        <v>45503</v>
      </c>
      <c r="H15" s="204">
        <v>2024</v>
      </c>
      <c r="I15" s="237" t="s">
        <v>33</v>
      </c>
      <c r="J15" s="206">
        <v>10</v>
      </c>
      <c r="K15" s="212">
        <v>0.771395809444403</v>
      </c>
      <c r="L15" s="204" t="s">
        <v>395</v>
      </c>
      <c r="M15" s="193">
        <v>0.59</v>
      </c>
      <c r="N15" s="193">
        <v>1.7</v>
      </c>
      <c r="O15" s="193">
        <v>7.5</v>
      </c>
      <c r="P15" s="193">
        <v>5.7</v>
      </c>
      <c r="Q15" s="193">
        <v>11</v>
      </c>
      <c r="R15" s="193">
        <v>10</v>
      </c>
      <c r="S15" s="193">
        <v>1.9</v>
      </c>
      <c r="T15" s="195">
        <v>38.389999999999993</v>
      </c>
      <c r="U15" s="207">
        <f t="shared" si="6"/>
        <v>211.88862837837382</v>
      </c>
      <c r="V15" s="208">
        <f>0.5*0.026</f>
        <v>1.2999999999999999E-2</v>
      </c>
      <c r="W15" s="208">
        <v>0.16</v>
      </c>
      <c r="X15" s="208">
        <v>8.1000000000000003E-2</v>
      </c>
      <c r="Y15" s="208">
        <v>5.8000000000000003E-2</v>
      </c>
      <c r="Z15" s="208">
        <f>0.5*0.026</f>
        <v>1.2999999999999999E-2</v>
      </c>
      <c r="AA15" s="239">
        <v>1.9E-2</v>
      </c>
      <c r="AB15" s="239">
        <v>1.6E-2</v>
      </c>
      <c r="AC15" s="196">
        <f>0.5*0.051</f>
        <v>2.5499999999999998E-2</v>
      </c>
      <c r="AD15" s="214">
        <v>0.33</v>
      </c>
      <c r="AE15" s="208">
        <f t="shared" si="0"/>
        <v>0.34700000000000003</v>
      </c>
      <c r="AF15" s="197">
        <v>3.1E-2</v>
      </c>
      <c r="AG15" s="208">
        <f t="shared" si="1"/>
        <v>0.20093445945945515</v>
      </c>
      <c r="AH15" s="215">
        <v>4.2958541666666665</v>
      </c>
      <c r="AI15" s="210">
        <f t="shared" si="7"/>
        <v>7.4999999999999997E-2</v>
      </c>
      <c r="AJ15" s="210">
        <f t="shared" si="12"/>
        <v>7.4999999999999997E-2</v>
      </c>
      <c r="AK15" s="240">
        <v>5.8812499999999997E-2</v>
      </c>
      <c r="AL15" s="210">
        <f t="shared" ref="AL15:AM18" si="18">0.5*0.15</f>
        <v>7.4999999999999997E-2</v>
      </c>
      <c r="AM15" s="210">
        <f t="shared" si="18"/>
        <v>7.4999999999999997E-2</v>
      </c>
      <c r="AN15" s="210">
        <v>0.18233333333333329</v>
      </c>
      <c r="AO15" s="240">
        <v>0.139875</v>
      </c>
      <c r="AP15" s="210">
        <f t="shared" si="2"/>
        <v>7.4999999999999997E-2</v>
      </c>
      <c r="AQ15" s="210">
        <v>0.25074999999999997</v>
      </c>
      <c r="AR15" s="210">
        <f t="shared" si="14"/>
        <v>7.4999999999999997E-2</v>
      </c>
      <c r="AS15" s="210">
        <v>0.53149999999999997</v>
      </c>
      <c r="AT15" s="240">
        <v>0.13443749999999999</v>
      </c>
      <c r="AU15" s="210">
        <f t="shared" ref="AU15:AU23" si="19">0.5*0.21</f>
        <v>0.105</v>
      </c>
      <c r="AV15" s="210">
        <f t="shared" si="9"/>
        <v>7.4999999999999997E-2</v>
      </c>
      <c r="AW15" s="210">
        <f t="shared" si="9"/>
        <v>7.4999999999999997E-2</v>
      </c>
      <c r="AX15" s="210">
        <f t="shared" si="9"/>
        <v>7.4999999999999997E-2</v>
      </c>
      <c r="AY15" s="210">
        <f t="shared" si="9"/>
        <v>7.4999999999999997E-2</v>
      </c>
      <c r="AZ15" s="210">
        <f t="shared" ref="AZ15:AZ23" si="20">0.5*0.15</f>
        <v>7.4999999999999997E-2</v>
      </c>
      <c r="BA15" s="240">
        <v>9.5375000000000001E-2</v>
      </c>
      <c r="BB15" s="240">
        <v>7.3437499999999989E-2</v>
      </c>
      <c r="BC15" s="204" t="s">
        <v>395</v>
      </c>
      <c r="BD15" s="204" t="s">
        <v>395</v>
      </c>
      <c r="BE15" s="204" t="s">
        <v>395</v>
      </c>
      <c r="BF15" s="204" t="s">
        <v>395</v>
      </c>
      <c r="BG15" s="204" t="s">
        <v>395</v>
      </c>
      <c r="BH15" s="204" t="s">
        <v>395</v>
      </c>
      <c r="BI15" s="204" t="s">
        <v>395</v>
      </c>
      <c r="BJ15" s="204" t="s">
        <v>395</v>
      </c>
      <c r="BK15" s="204" t="s">
        <v>395</v>
      </c>
      <c r="BL15" s="204" t="s">
        <v>395</v>
      </c>
      <c r="BM15" s="204" t="s">
        <v>395</v>
      </c>
      <c r="BN15" s="156">
        <v>190</v>
      </c>
      <c r="BO15" s="241" t="s">
        <v>395</v>
      </c>
      <c r="BP15" s="241" t="s">
        <v>395</v>
      </c>
      <c r="BQ15" s="241" t="s">
        <v>395</v>
      </c>
      <c r="BR15" s="241" t="s">
        <v>395</v>
      </c>
      <c r="BS15" s="241" t="s">
        <v>395</v>
      </c>
      <c r="BT15" s="241" t="s">
        <v>395</v>
      </c>
      <c r="BU15" s="241" t="s">
        <v>395</v>
      </c>
      <c r="BV15" s="241" t="s">
        <v>395</v>
      </c>
      <c r="BW15" s="241" t="s">
        <v>395</v>
      </c>
      <c r="BX15" s="241" t="s">
        <v>395</v>
      </c>
      <c r="BY15" s="241" t="s">
        <v>395</v>
      </c>
      <c r="BZ15" s="241" t="s">
        <v>395</v>
      </c>
      <c r="CA15" s="241" t="s">
        <v>395</v>
      </c>
      <c r="CB15" s="241" t="s">
        <v>395</v>
      </c>
      <c r="CC15" s="241" t="s">
        <v>395</v>
      </c>
      <c r="CD15" s="241" t="s">
        <v>395</v>
      </c>
      <c r="CE15" s="241" t="s">
        <v>395</v>
      </c>
      <c r="CF15" s="241" t="s">
        <v>395</v>
      </c>
      <c r="CG15" s="241" t="s">
        <v>395</v>
      </c>
      <c r="CH15" s="241" t="s">
        <v>395</v>
      </c>
      <c r="CI15" s="211">
        <f t="shared" si="10"/>
        <v>3.8242364864864045</v>
      </c>
      <c r="CJ15" s="211">
        <f t="shared" si="4"/>
        <v>11.01898648648625</v>
      </c>
      <c r="CK15" s="211">
        <f t="shared" si="4"/>
        <v>48.613175675674633</v>
      </c>
      <c r="CL15" s="211">
        <f t="shared" si="4"/>
        <v>36.946013513512725</v>
      </c>
      <c r="CM15" s="211">
        <f t="shared" si="4"/>
        <v>71.299324324322797</v>
      </c>
      <c r="CN15" s="211">
        <f t="shared" si="4"/>
        <v>64.817567567566186</v>
      </c>
      <c r="CO15" s="211">
        <f t="shared" si="4"/>
        <v>12.315337837837573</v>
      </c>
      <c r="CP15" s="211">
        <f t="shared" si="4"/>
        <v>248.83464189188652</v>
      </c>
      <c r="CQ15" s="211">
        <f t="shared" si="11"/>
        <v>1.0370810810810589</v>
      </c>
      <c r="CR15" s="211">
        <f t="shared" si="11"/>
        <v>0.52502229729728611</v>
      </c>
      <c r="CS15" s="211">
        <f t="shared" si="11"/>
        <v>0.37594189189188387</v>
      </c>
      <c r="CT15" s="211">
        <f t="shared" si="5"/>
        <v>8.426283783783603E-2</v>
      </c>
      <c r="CU15" s="211">
        <f t="shared" si="5"/>
        <v>0.12315337837837574</v>
      </c>
      <c r="CV15" s="211">
        <f t="shared" si="5"/>
        <v>0.10370810810810589</v>
      </c>
      <c r="CW15" s="211">
        <f t="shared" si="5"/>
        <v>0.16528479729729376</v>
      </c>
      <c r="CX15" s="211">
        <f t="shared" si="5"/>
        <v>2.1389797297296842</v>
      </c>
      <c r="CY15" s="59" t="s">
        <v>395</v>
      </c>
    </row>
    <row r="16" spans="1:103" s="204" customFormat="1" x14ac:dyDescent="0.3">
      <c r="A16" s="235" t="s">
        <v>30</v>
      </c>
      <c r="B16" s="179" t="s">
        <v>30</v>
      </c>
      <c r="C16" s="236" t="s">
        <v>20</v>
      </c>
      <c r="D16" s="237"/>
      <c r="E16" s="237"/>
      <c r="F16" s="237"/>
      <c r="G16" s="219">
        <v>45498</v>
      </c>
      <c r="H16" s="204">
        <v>2024</v>
      </c>
      <c r="I16" s="237" t="s">
        <v>33</v>
      </c>
      <c r="J16" s="206">
        <v>10</v>
      </c>
      <c r="K16" s="212">
        <v>0.72807850585627398</v>
      </c>
      <c r="L16" s="204" t="s">
        <v>395</v>
      </c>
      <c r="M16" s="193">
        <v>5.8999999999999997E-2</v>
      </c>
      <c r="N16" s="199">
        <v>0.3</v>
      </c>
      <c r="O16" s="193">
        <v>1.5</v>
      </c>
      <c r="P16" s="193">
        <v>1.4</v>
      </c>
      <c r="Q16" s="193">
        <v>2.9</v>
      </c>
      <c r="R16" s="193">
        <v>2.5</v>
      </c>
      <c r="S16" s="193">
        <v>0.74</v>
      </c>
      <c r="T16" s="194">
        <v>9.3989999999999991</v>
      </c>
      <c r="U16" s="207">
        <f t="shared" si="6"/>
        <v>54.93226304347899</v>
      </c>
      <c r="V16" s="208">
        <f>0.5*0.025</f>
        <v>1.2500000000000001E-2</v>
      </c>
      <c r="W16" s="208">
        <v>3.1E-2</v>
      </c>
      <c r="X16" s="208">
        <v>3.7999999999999999E-2</v>
      </c>
      <c r="Y16" s="239">
        <v>1.0999999999999999E-2</v>
      </c>
      <c r="Z16" s="208">
        <f>0.5*0.025</f>
        <v>1.2500000000000001E-2</v>
      </c>
      <c r="AA16" s="239">
        <v>9.9000000000000008E-3</v>
      </c>
      <c r="AB16" s="208">
        <f>0.5*0.025</f>
        <v>1.2500000000000001E-2</v>
      </c>
      <c r="AC16" s="196">
        <f>0.5*0.049</f>
        <v>2.4500000000000001E-2</v>
      </c>
      <c r="AD16" s="214">
        <v>0.09</v>
      </c>
      <c r="AE16" s="208">
        <f t="shared" si="0"/>
        <v>0.1149</v>
      </c>
      <c r="AF16" s="196">
        <v>1.7000000000000001E-2</v>
      </c>
      <c r="AG16" s="208">
        <f t="shared" si="1"/>
        <v>0.1167456521739146</v>
      </c>
      <c r="AH16" s="215">
        <v>6.4871282051282044</v>
      </c>
      <c r="AI16" s="210">
        <f t="shared" si="7"/>
        <v>7.4999999999999997E-2</v>
      </c>
      <c r="AJ16" s="210">
        <f t="shared" si="12"/>
        <v>7.4999999999999997E-2</v>
      </c>
      <c r="AK16" s="240">
        <v>6.9538461538461535E-2</v>
      </c>
      <c r="AL16" s="210">
        <f t="shared" si="18"/>
        <v>7.4999999999999997E-2</v>
      </c>
      <c r="AM16" s="210">
        <f t="shared" si="18"/>
        <v>7.4999999999999997E-2</v>
      </c>
      <c r="AN16" s="210">
        <v>0.49410256410256409</v>
      </c>
      <c r="AO16" s="210">
        <v>0.15192307692307694</v>
      </c>
      <c r="AP16" s="210">
        <f t="shared" si="2"/>
        <v>7.4999999999999997E-2</v>
      </c>
      <c r="AQ16" s="210">
        <v>0.56446153846153846</v>
      </c>
      <c r="AR16" s="210">
        <f t="shared" si="14"/>
        <v>7.4999999999999997E-2</v>
      </c>
      <c r="AS16" s="210">
        <v>0.54453846153846153</v>
      </c>
      <c r="AT16" s="240">
        <v>7.8461538461538458E-2</v>
      </c>
      <c r="AU16" s="210">
        <f t="shared" si="19"/>
        <v>0.105</v>
      </c>
      <c r="AV16" s="210">
        <f t="shared" si="9"/>
        <v>7.4999999999999997E-2</v>
      </c>
      <c r="AW16" s="210">
        <f t="shared" si="9"/>
        <v>7.4999999999999997E-2</v>
      </c>
      <c r="AX16" s="210">
        <f t="shared" si="9"/>
        <v>7.4999999999999997E-2</v>
      </c>
      <c r="AY16" s="210">
        <f t="shared" si="9"/>
        <v>7.4999999999999997E-2</v>
      </c>
      <c r="AZ16" s="210">
        <f t="shared" si="20"/>
        <v>7.4999999999999997E-2</v>
      </c>
      <c r="BA16" s="210">
        <f>0.5*0.15</f>
        <v>7.4999999999999997E-2</v>
      </c>
      <c r="BB16" s="210">
        <f>0.5*0.15</f>
        <v>7.4999999999999997E-2</v>
      </c>
      <c r="BC16" s="204" t="s">
        <v>395</v>
      </c>
      <c r="BD16" s="204" t="s">
        <v>395</v>
      </c>
      <c r="BE16" s="204" t="s">
        <v>395</v>
      </c>
      <c r="BF16" s="204" t="s">
        <v>395</v>
      </c>
      <c r="BG16" s="204" t="s">
        <v>395</v>
      </c>
      <c r="BH16" s="204" t="s">
        <v>395</v>
      </c>
      <c r="BI16" s="204" t="s">
        <v>395</v>
      </c>
      <c r="BJ16" s="204" t="s">
        <v>395</v>
      </c>
      <c r="BK16" s="204" t="s">
        <v>395</v>
      </c>
      <c r="BL16" s="204" t="s">
        <v>395</v>
      </c>
      <c r="BM16" s="204" t="s">
        <v>395</v>
      </c>
      <c r="BN16" s="156">
        <v>34</v>
      </c>
      <c r="BO16" s="241" t="s">
        <v>395</v>
      </c>
      <c r="BP16" s="241" t="s">
        <v>395</v>
      </c>
      <c r="BQ16" s="241" t="s">
        <v>395</v>
      </c>
      <c r="BR16" s="241" t="s">
        <v>395</v>
      </c>
      <c r="BS16" s="241" t="s">
        <v>395</v>
      </c>
      <c r="BT16" s="241" t="s">
        <v>395</v>
      </c>
      <c r="BU16" s="241" t="s">
        <v>395</v>
      </c>
      <c r="BV16" s="241" t="s">
        <v>395</v>
      </c>
      <c r="BW16" s="241" t="s">
        <v>395</v>
      </c>
      <c r="BX16" s="241" t="s">
        <v>395</v>
      </c>
      <c r="BY16" s="241" t="s">
        <v>395</v>
      </c>
      <c r="BZ16" s="241" t="s">
        <v>395</v>
      </c>
      <c r="CA16" s="241" t="s">
        <v>395</v>
      </c>
      <c r="CB16" s="241" t="s">
        <v>395</v>
      </c>
      <c r="CC16" s="241" t="s">
        <v>395</v>
      </c>
      <c r="CD16" s="241" t="s">
        <v>395</v>
      </c>
      <c r="CE16" s="241" t="s">
        <v>395</v>
      </c>
      <c r="CF16" s="241" t="s">
        <v>395</v>
      </c>
      <c r="CG16" s="241" t="s">
        <v>395</v>
      </c>
      <c r="CH16" s="241" t="s">
        <v>395</v>
      </c>
      <c r="CI16" s="211">
        <f t="shared" si="10"/>
        <v>0.40517608695652707</v>
      </c>
      <c r="CJ16" s="211">
        <f t="shared" si="4"/>
        <v>2.0602173913043749</v>
      </c>
      <c r="CK16" s="211">
        <f t="shared" si="4"/>
        <v>10.301086956521875</v>
      </c>
      <c r="CL16" s="211">
        <f t="shared" si="4"/>
        <v>9.6143478260870836</v>
      </c>
      <c r="CM16" s="211">
        <f t="shared" si="4"/>
        <v>19.915434782608958</v>
      </c>
      <c r="CN16" s="211">
        <f t="shared" si="4"/>
        <v>17.168478260869794</v>
      </c>
      <c r="CO16" s="211">
        <f t="shared" si="4"/>
        <v>5.0818695652174588</v>
      </c>
      <c r="CP16" s="211">
        <f t="shared" si="4"/>
        <v>64.546610869566067</v>
      </c>
      <c r="CQ16" s="211">
        <f t="shared" si="11"/>
        <v>0.21288913043478544</v>
      </c>
      <c r="CR16" s="211">
        <f t="shared" si="11"/>
        <v>0.26096086956522085</v>
      </c>
      <c r="CS16" s="211">
        <f t="shared" si="11"/>
        <v>7.554130434782709E-2</v>
      </c>
      <c r="CT16" s="211">
        <f t="shared" si="5"/>
        <v>8.5842391304348967E-2</v>
      </c>
      <c r="CU16" s="211">
        <f t="shared" si="5"/>
        <v>6.7987173913044388E-2</v>
      </c>
      <c r="CV16" s="211">
        <f t="shared" si="5"/>
        <v>8.5842391304348967E-2</v>
      </c>
      <c r="CW16" s="211">
        <f t="shared" si="5"/>
        <v>0.16825108695652397</v>
      </c>
      <c r="CX16" s="211">
        <f t="shared" si="5"/>
        <v>0.61806521739131248</v>
      </c>
      <c r="CY16" s="59" t="s">
        <v>395</v>
      </c>
    </row>
    <row r="17" spans="1:103" s="204" customFormat="1" x14ac:dyDescent="0.3">
      <c r="A17" s="235" t="s">
        <v>81</v>
      </c>
      <c r="B17" s="179" t="s">
        <v>81</v>
      </c>
      <c r="C17" s="236" t="s">
        <v>20</v>
      </c>
      <c r="D17" s="237"/>
      <c r="E17" s="237"/>
      <c r="F17" s="237"/>
      <c r="G17" s="219">
        <v>45503</v>
      </c>
      <c r="H17" s="204">
        <v>2024</v>
      </c>
      <c r="I17" s="237" t="s">
        <v>33</v>
      </c>
      <c r="J17" s="206">
        <v>10</v>
      </c>
      <c r="K17" s="212">
        <v>0.85898353614888701</v>
      </c>
      <c r="L17" s="204" t="s">
        <v>395</v>
      </c>
      <c r="M17" s="238">
        <v>2.9000000000000001E-2</v>
      </c>
      <c r="N17" s="193">
        <v>8.1000000000000003E-2</v>
      </c>
      <c r="O17" s="193">
        <v>0.48</v>
      </c>
      <c r="P17" s="193">
        <v>0.35</v>
      </c>
      <c r="Q17" s="193">
        <v>1.1000000000000001</v>
      </c>
      <c r="R17" s="194">
        <v>1</v>
      </c>
      <c r="S17" s="193">
        <v>0.36</v>
      </c>
      <c r="T17" s="194">
        <v>3.4</v>
      </c>
      <c r="U17" s="207">
        <f t="shared" si="6"/>
        <v>17.753541666666738</v>
      </c>
      <c r="V17" s="208">
        <f>0.5*0.026</f>
        <v>1.2999999999999999E-2</v>
      </c>
      <c r="W17" s="208">
        <v>0.11</v>
      </c>
      <c r="X17" s="208">
        <v>4.9000000000000002E-2</v>
      </c>
      <c r="Y17" s="208">
        <v>7.4999999999999997E-2</v>
      </c>
      <c r="Z17" s="208">
        <f>0.5*0.026</f>
        <v>1.2999999999999999E-2</v>
      </c>
      <c r="AA17" s="239">
        <v>9.4000000000000004E-3</v>
      </c>
      <c r="AB17" s="239">
        <v>9.2999999999999992E-3</v>
      </c>
      <c r="AC17" s="214">
        <f>0.5*0.051</f>
        <v>2.5499999999999998E-2</v>
      </c>
      <c r="AD17" s="209">
        <v>0.25</v>
      </c>
      <c r="AE17" s="208">
        <f t="shared" si="0"/>
        <v>0.26569999999999999</v>
      </c>
      <c r="AF17" s="197">
        <v>0.16</v>
      </c>
      <c r="AG17" s="208">
        <f t="shared" si="1"/>
        <v>0.93133333333333712</v>
      </c>
      <c r="AH17" s="215">
        <v>4.0202207446808513</v>
      </c>
      <c r="AI17" s="210">
        <f t="shared" si="7"/>
        <v>7.4999999999999997E-2</v>
      </c>
      <c r="AJ17" s="210">
        <f t="shared" si="12"/>
        <v>7.4999999999999997E-2</v>
      </c>
      <c r="AK17" s="210">
        <f>0.5*0.15</f>
        <v>7.4999999999999997E-2</v>
      </c>
      <c r="AL17" s="210">
        <f t="shared" si="18"/>
        <v>7.4999999999999997E-2</v>
      </c>
      <c r="AM17" s="210">
        <f t="shared" si="18"/>
        <v>7.4999999999999997E-2</v>
      </c>
      <c r="AN17" s="210">
        <v>0.46589361702127657</v>
      </c>
      <c r="AO17" s="210">
        <v>0.4397677304964539</v>
      </c>
      <c r="AP17" s="210">
        <f t="shared" si="2"/>
        <v>7.4999999999999997E-2</v>
      </c>
      <c r="AQ17" s="210">
        <v>0.60697695035460997</v>
      </c>
      <c r="AR17" s="240">
        <v>7.728102836879433E-2</v>
      </c>
      <c r="AS17" s="210">
        <v>1.0599778368794328</v>
      </c>
      <c r="AT17" s="210">
        <v>0.22981737588652484</v>
      </c>
      <c r="AU17" s="210">
        <f t="shared" si="19"/>
        <v>0.105</v>
      </c>
      <c r="AV17" s="210">
        <f t="shared" si="9"/>
        <v>7.4999999999999997E-2</v>
      </c>
      <c r="AW17" s="210">
        <f t="shared" si="9"/>
        <v>7.4999999999999997E-2</v>
      </c>
      <c r="AX17" s="210">
        <f t="shared" si="9"/>
        <v>7.4999999999999997E-2</v>
      </c>
      <c r="AY17" s="210">
        <f t="shared" si="9"/>
        <v>7.4999999999999997E-2</v>
      </c>
      <c r="AZ17" s="210">
        <f t="shared" si="20"/>
        <v>7.4999999999999997E-2</v>
      </c>
      <c r="BA17" s="240">
        <v>8.5109929078014193E-2</v>
      </c>
      <c r="BB17" s="240">
        <v>5.1820035460992911E-2</v>
      </c>
      <c r="BC17" s="204" t="s">
        <v>395</v>
      </c>
      <c r="BD17" s="204" t="s">
        <v>395</v>
      </c>
      <c r="BE17" s="204" t="s">
        <v>395</v>
      </c>
      <c r="BF17" s="204" t="s">
        <v>395</v>
      </c>
      <c r="BG17" s="204" t="s">
        <v>395</v>
      </c>
      <c r="BH17" s="204" t="s">
        <v>395</v>
      </c>
      <c r="BI17" s="204" t="s">
        <v>395</v>
      </c>
      <c r="BJ17" s="204" t="s">
        <v>395</v>
      </c>
      <c r="BK17" s="204" t="s">
        <v>395</v>
      </c>
      <c r="BL17" s="204" t="s">
        <v>395</v>
      </c>
      <c r="BM17" s="204" t="s">
        <v>395</v>
      </c>
      <c r="BN17" s="156">
        <v>30</v>
      </c>
      <c r="BO17" s="241" t="s">
        <v>395</v>
      </c>
      <c r="BP17" s="241" t="s">
        <v>395</v>
      </c>
      <c r="BQ17" s="241" t="s">
        <v>395</v>
      </c>
      <c r="BR17" s="241" t="s">
        <v>395</v>
      </c>
      <c r="BS17" s="241" t="s">
        <v>395</v>
      </c>
      <c r="BT17" s="241" t="s">
        <v>395</v>
      </c>
      <c r="BU17" s="241" t="s">
        <v>395</v>
      </c>
      <c r="BV17" s="241" t="s">
        <v>395</v>
      </c>
      <c r="BW17" s="241" t="s">
        <v>395</v>
      </c>
      <c r="BX17" s="241" t="s">
        <v>395</v>
      </c>
      <c r="BY17" s="241" t="s">
        <v>395</v>
      </c>
      <c r="BZ17" s="241" t="s">
        <v>395</v>
      </c>
      <c r="CA17" s="241" t="s">
        <v>395</v>
      </c>
      <c r="CB17" s="241" t="s">
        <v>395</v>
      </c>
      <c r="CC17" s="241" t="s">
        <v>395</v>
      </c>
      <c r="CD17" s="241" t="s">
        <v>395</v>
      </c>
      <c r="CE17" s="241" t="s">
        <v>395</v>
      </c>
      <c r="CF17" s="241" t="s">
        <v>395</v>
      </c>
      <c r="CG17" s="241" t="s">
        <v>395</v>
      </c>
      <c r="CH17" s="241" t="s">
        <v>395</v>
      </c>
      <c r="CI17" s="211">
        <f t="shared" si="10"/>
        <v>0.16880416666666737</v>
      </c>
      <c r="CJ17" s="211">
        <f t="shared" si="4"/>
        <v>0.47148750000000195</v>
      </c>
      <c r="CK17" s="211">
        <f t="shared" si="4"/>
        <v>2.7940000000000111</v>
      </c>
      <c r="CL17" s="211">
        <f t="shared" si="4"/>
        <v>2.0372916666666749</v>
      </c>
      <c r="CM17" s="211">
        <f t="shared" si="4"/>
        <v>6.4029166666666928</v>
      </c>
      <c r="CN17" s="211">
        <f t="shared" si="4"/>
        <v>5.8208333333333568</v>
      </c>
      <c r="CO17" s="211">
        <f t="shared" si="4"/>
        <v>2.0955000000000084</v>
      </c>
      <c r="CP17" s="211">
        <f t="shared" si="4"/>
        <v>19.790833333333413</v>
      </c>
      <c r="CQ17" s="211">
        <f t="shared" si="11"/>
        <v>0.64029166666666926</v>
      </c>
      <c r="CR17" s="211">
        <f t="shared" si="11"/>
        <v>0.28522083333333448</v>
      </c>
      <c r="CS17" s="211">
        <f t="shared" si="11"/>
        <v>0.43656250000000174</v>
      </c>
      <c r="CT17" s="211">
        <f t="shared" si="5"/>
        <v>7.5670833333333631E-2</v>
      </c>
      <c r="CU17" s="211">
        <f t="shared" si="5"/>
        <v>5.4715833333333554E-2</v>
      </c>
      <c r="CV17" s="211">
        <f t="shared" si="5"/>
        <v>5.4133750000000216E-2</v>
      </c>
      <c r="CW17" s="211">
        <f t="shared" si="5"/>
        <v>0.1484312500000006</v>
      </c>
      <c r="CX17" s="211">
        <f t="shared" si="5"/>
        <v>1.4552083333333392</v>
      </c>
      <c r="CY17" s="59" t="s">
        <v>395</v>
      </c>
    </row>
    <row r="18" spans="1:103" s="204" customFormat="1" x14ac:dyDescent="0.3">
      <c r="A18" s="235" t="s">
        <v>370</v>
      </c>
      <c r="B18" s="180" t="s">
        <v>370</v>
      </c>
      <c r="C18" s="236" t="s">
        <v>20</v>
      </c>
      <c r="D18" s="237"/>
      <c r="E18" s="237"/>
      <c r="F18" s="237"/>
      <c r="G18" s="219">
        <v>45545</v>
      </c>
      <c r="H18" s="204">
        <v>2024</v>
      </c>
      <c r="I18" s="237" t="s">
        <v>33</v>
      </c>
      <c r="J18" s="206">
        <v>10</v>
      </c>
      <c r="K18" s="212">
        <v>1.04870424523548</v>
      </c>
      <c r="L18" s="204" t="s">
        <v>395</v>
      </c>
      <c r="M18" s="238">
        <v>1.7999999999999999E-2</v>
      </c>
      <c r="N18" s="203">
        <f>0.5*0.042</f>
        <v>2.1000000000000001E-2</v>
      </c>
      <c r="O18" s="193">
        <v>0.13</v>
      </c>
      <c r="P18" s="193">
        <v>0.17</v>
      </c>
      <c r="Q18" s="193">
        <v>0.49</v>
      </c>
      <c r="R18" s="193">
        <v>0.34</v>
      </c>
      <c r="S18" s="199">
        <v>0.1</v>
      </c>
      <c r="T18" s="194">
        <v>1.2480000000000002</v>
      </c>
      <c r="U18" s="207">
        <f t="shared" si="6"/>
        <v>5.2397995192306421</v>
      </c>
      <c r="V18" s="208">
        <f>0.5*0.027</f>
        <v>1.35E-2</v>
      </c>
      <c r="W18" s="208">
        <v>3.1E-2</v>
      </c>
      <c r="X18" s="208">
        <v>2.4E-2</v>
      </c>
      <c r="Y18" s="208">
        <f>0.5*0.021</f>
        <v>1.0500000000000001E-2</v>
      </c>
      <c r="Z18" s="208">
        <f>0.5*0.027</f>
        <v>1.35E-2</v>
      </c>
      <c r="AA18" s="239">
        <v>1.2999999999999999E-2</v>
      </c>
      <c r="AB18" s="208">
        <f>0.5*0.027</f>
        <v>1.35E-2</v>
      </c>
      <c r="AC18" s="214">
        <f>0.5*0.053</f>
        <v>2.6499999999999999E-2</v>
      </c>
      <c r="AD18" s="214">
        <v>6.8000000000000005E-2</v>
      </c>
      <c r="AE18" s="208">
        <f t="shared" si="0"/>
        <v>0.1055</v>
      </c>
      <c r="AF18" s="196">
        <f>0.5*0.001</f>
        <v>5.0000000000000001E-4</v>
      </c>
      <c r="AG18" s="208">
        <f t="shared" si="1"/>
        <v>2.3838942307691726E-3</v>
      </c>
      <c r="AH18" s="207">
        <v>16.928919925512105</v>
      </c>
      <c r="AI18" s="210">
        <f t="shared" si="7"/>
        <v>7.4999999999999997E-2</v>
      </c>
      <c r="AJ18" s="210">
        <f t="shared" si="12"/>
        <v>7.4999999999999997E-2</v>
      </c>
      <c r="AK18" s="240">
        <v>6.5363128491620112E-2</v>
      </c>
      <c r="AL18" s="210">
        <f t="shared" si="18"/>
        <v>7.4999999999999997E-2</v>
      </c>
      <c r="AM18" s="210">
        <f t="shared" si="18"/>
        <v>7.4999999999999997E-2</v>
      </c>
      <c r="AN18" s="210">
        <v>0.36694599627560515</v>
      </c>
      <c r="AO18" s="240">
        <v>9.9720670391061458E-2</v>
      </c>
      <c r="AP18" s="210">
        <f t="shared" si="2"/>
        <v>7.4999999999999997E-2</v>
      </c>
      <c r="AQ18" s="210">
        <v>0.21128491620111731</v>
      </c>
      <c r="AR18" s="210">
        <f t="shared" ref="AR18:AR23" si="21">0.5*0.15</f>
        <v>7.4999999999999997E-2</v>
      </c>
      <c r="AS18" s="240">
        <v>5.1899441340782122E-2</v>
      </c>
      <c r="AT18" s="210">
        <f>0.5*0.15</f>
        <v>7.4999999999999997E-2</v>
      </c>
      <c r="AU18" s="210">
        <f t="shared" si="19"/>
        <v>0.105</v>
      </c>
      <c r="AV18" s="210">
        <f t="shared" si="9"/>
        <v>7.4999999999999997E-2</v>
      </c>
      <c r="AW18" s="210">
        <f t="shared" si="9"/>
        <v>7.4999999999999997E-2</v>
      </c>
      <c r="AX18" s="210">
        <f t="shared" si="9"/>
        <v>7.4999999999999997E-2</v>
      </c>
      <c r="AY18" s="210">
        <f t="shared" si="9"/>
        <v>7.4999999999999997E-2</v>
      </c>
      <c r="AZ18" s="210">
        <f t="shared" si="20"/>
        <v>7.4999999999999997E-2</v>
      </c>
      <c r="BA18" s="210">
        <f t="shared" ref="BA18:BB23" si="22">0.5*0.15</f>
        <v>7.4999999999999997E-2</v>
      </c>
      <c r="BB18" s="210">
        <f t="shared" si="22"/>
        <v>7.4999999999999997E-2</v>
      </c>
      <c r="BC18" s="204" t="s">
        <v>395</v>
      </c>
      <c r="BD18" s="204" t="s">
        <v>395</v>
      </c>
      <c r="BE18" s="204" t="s">
        <v>395</v>
      </c>
      <c r="BF18" s="204" t="s">
        <v>395</v>
      </c>
      <c r="BG18" s="204" t="s">
        <v>395</v>
      </c>
      <c r="BH18" s="204" t="s">
        <v>395</v>
      </c>
      <c r="BI18" s="204" t="s">
        <v>395</v>
      </c>
      <c r="BJ18" s="204" t="s">
        <v>395</v>
      </c>
      <c r="BK18" s="204" t="s">
        <v>395</v>
      </c>
      <c r="BL18" s="204" t="s">
        <v>395</v>
      </c>
      <c r="BM18" s="204" t="s">
        <v>395</v>
      </c>
      <c r="BN18" s="156">
        <v>43</v>
      </c>
      <c r="BO18" s="241" t="s">
        <v>395</v>
      </c>
      <c r="BP18" s="241" t="s">
        <v>395</v>
      </c>
      <c r="BQ18" s="241" t="s">
        <v>395</v>
      </c>
      <c r="BR18" s="241" t="s">
        <v>395</v>
      </c>
      <c r="BS18" s="241" t="s">
        <v>395</v>
      </c>
      <c r="BT18" s="241" t="s">
        <v>395</v>
      </c>
      <c r="BU18" s="241" t="s">
        <v>395</v>
      </c>
      <c r="BV18" s="241" t="s">
        <v>395</v>
      </c>
      <c r="BW18" s="241" t="s">
        <v>395</v>
      </c>
      <c r="BX18" s="241" t="s">
        <v>395</v>
      </c>
      <c r="BY18" s="241" t="s">
        <v>395</v>
      </c>
      <c r="BZ18" s="241" t="s">
        <v>395</v>
      </c>
      <c r="CA18" s="241" t="s">
        <v>395</v>
      </c>
      <c r="CB18" s="241" t="s">
        <v>395</v>
      </c>
      <c r="CC18" s="241" t="s">
        <v>395</v>
      </c>
      <c r="CD18" s="241" t="s">
        <v>395</v>
      </c>
      <c r="CE18" s="241" t="s">
        <v>395</v>
      </c>
      <c r="CF18" s="241" t="s">
        <v>395</v>
      </c>
      <c r="CG18" s="241" t="s">
        <v>395</v>
      </c>
      <c r="CH18" s="241" t="s">
        <v>395</v>
      </c>
      <c r="CI18" s="211">
        <f t="shared" si="10"/>
        <v>8.5820192307690196E-2</v>
      </c>
      <c r="CJ18" s="211">
        <f t="shared" si="10"/>
        <v>0.10012355769230524</v>
      </c>
      <c r="CK18" s="211">
        <f t="shared" si="10"/>
        <v>0.61981249999998489</v>
      </c>
      <c r="CL18" s="211">
        <f t="shared" si="10"/>
        <v>0.81052403846151866</v>
      </c>
      <c r="CM18" s="211">
        <f t="shared" si="10"/>
        <v>2.336216346153789</v>
      </c>
      <c r="CN18" s="211">
        <f t="shared" si="10"/>
        <v>1.6210480769230373</v>
      </c>
      <c r="CO18" s="211">
        <f t="shared" si="10"/>
        <v>0.47677884615383448</v>
      </c>
      <c r="CP18" s="211">
        <f t="shared" si="10"/>
        <v>5.9501999999998549</v>
      </c>
      <c r="CQ18" s="211">
        <f t="shared" si="11"/>
        <v>0.14780144230768869</v>
      </c>
      <c r="CR18" s="211">
        <f t="shared" si="11"/>
        <v>0.11442692307692028</v>
      </c>
      <c r="CS18" s="211">
        <f t="shared" si="11"/>
        <v>5.0061778846152621E-2</v>
      </c>
      <c r="CT18" s="211">
        <f t="shared" si="11"/>
        <v>6.4365144230767654E-2</v>
      </c>
      <c r="CU18" s="211">
        <f t="shared" si="11"/>
        <v>6.1981249999998482E-2</v>
      </c>
      <c r="CV18" s="211">
        <f t="shared" si="11"/>
        <v>6.4365144230767654E-2</v>
      </c>
      <c r="CW18" s="211">
        <f t="shared" si="11"/>
        <v>0.12634639423076613</v>
      </c>
      <c r="CX18" s="211">
        <f t="shared" si="11"/>
        <v>0.32420961538460746</v>
      </c>
      <c r="CY18" s="59" t="s">
        <v>395</v>
      </c>
    </row>
    <row r="19" spans="1:103" s="204" customFormat="1" x14ac:dyDescent="0.3">
      <c r="A19" s="235" t="s">
        <v>7</v>
      </c>
      <c r="B19" s="180" t="s">
        <v>7</v>
      </c>
      <c r="C19" s="236" t="s">
        <v>20</v>
      </c>
      <c r="D19" s="237"/>
      <c r="E19" s="237"/>
      <c r="F19" s="237"/>
      <c r="G19" s="219">
        <v>45533</v>
      </c>
      <c r="H19" s="204">
        <v>2024</v>
      </c>
      <c r="I19" s="237" t="s">
        <v>33</v>
      </c>
      <c r="J19" s="206">
        <v>10</v>
      </c>
      <c r="K19" s="212">
        <v>0.680540487227563</v>
      </c>
      <c r="L19" s="204" t="s">
        <v>395</v>
      </c>
      <c r="M19" s="193">
        <v>4.8000000000000001E-2</v>
      </c>
      <c r="N19" s="193">
        <v>0.24</v>
      </c>
      <c r="O19" s="193">
        <v>1.1000000000000001</v>
      </c>
      <c r="P19" s="193">
        <v>0.96</v>
      </c>
      <c r="Q19" s="193">
        <v>2.2999999999999998</v>
      </c>
      <c r="R19" s="193">
        <v>2.1</v>
      </c>
      <c r="S19" s="193">
        <v>0.61</v>
      </c>
      <c r="T19" s="194">
        <v>7.3579999999999997</v>
      </c>
      <c r="U19" s="207">
        <f>SUM(M19,N19,O19,Q19,R19,S19)*(5/K19)</f>
        <v>47.006755072461992</v>
      </c>
      <c r="V19" s="208">
        <f>0.5*0.024</f>
        <v>1.2E-2</v>
      </c>
      <c r="W19" s="208">
        <v>0.08</v>
      </c>
      <c r="X19" s="208">
        <v>5.5E-2</v>
      </c>
      <c r="Y19" s="208">
        <v>3.3000000000000002E-2</v>
      </c>
      <c r="Z19" s="208">
        <f>0.5*0.024</f>
        <v>1.2E-2</v>
      </c>
      <c r="AA19" s="239">
        <v>9.7000000000000003E-3</v>
      </c>
      <c r="AB19" s="208">
        <f>0.5*0.024</f>
        <v>1.2E-2</v>
      </c>
      <c r="AC19" s="214">
        <f>0.5*0.047</f>
        <v>2.35E-2</v>
      </c>
      <c r="AD19" s="209">
        <v>0.18</v>
      </c>
      <c r="AE19" s="208">
        <f t="shared" si="0"/>
        <v>0.20169999999999999</v>
      </c>
      <c r="AF19" s="196">
        <v>8.4000000000000005E-2</v>
      </c>
      <c r="AG19" s="208">
        <f t="shared" si="1"/>
        <v>0.61715652173910707</v>
      </c>
      <c r="AH19" s="207">
        <v>10.248264299802761</v>
      </c>
      <c r="AI19" s="210">
        <f t="shared" si="7"/>
        <v>7.4999999999999997E-2</v>
      </c>
      <c r="AJ19" s="210">
        <f t="shared" si="12"/>
        <v>7.4999999999999997E-2</v>
      </c>
      <c r="AK19" s="210">
        <f>0.5*0.15</f>
        <v>7.4999999999999997E-2</v>
      </c>
      <c r="AL19" s="210">
        <f>0.5*0.15</f>
        <v>7.4999999999999997E-2</v>
      </c>
      <c r="AM19" s="240">
        <v>5.9684418145956604E-2</v>
      </c>
      <c r="AN19" s="210">
        <v>1.624516765285996</v>
      </c>
      <c r="AO19" s="210">
        <v>0.38100591715976334</v>
      </c>
      <c r="AP19" s="210">
        <f t="shared" si="2"/>
        <v>7.4999999999999997E-2</v>
      </c>
      <c r="AQ19" s="210">
        <v>1.6323668639053253</v>
      </c>
      <c r="AR19" s="210">
        <f t="shared" si="21"/>
        <v>7.4999999999999997E-2</v>
      </c>
      <c r="AS19" s="210">
        <v>1.1957396449704143</v>
      </c>
      <c r="AT19" s="210">
        <v>0.185207100591716</v>
      </c>
      <c r="AU19" s="210">
        <f t="shared" si="19"/>
        <v>0.105</v>
      </c>
      <c r="AV19" s="210">
        <f t="shared" si="9"/>
        <v>7.4999999999999997E-2</v>
      </c>
      <c r="AW19" s="210">
        <f t="shared" si="9"/>
        <v>7.4999999999999997E-2</v>
      </c>
      <c r="AX19" s="210">
        <f t="shared" si="9"/>
        <v>7.4999999999999997E-2</v>
      </c>
      <c r="AY19" s="210">
        <f t="shared" si="9"/>
        <v>7.4999999999999997E-2</v>
      </c>
      <c r="AZ19" s="210">
        <f t="shared" si="20"/>
        <v>7.4999999999999997E-2</v>
      </c>
      <c r="BA19" s="210">
        <f t="shared" si="22"/>
        <v>7.4999999999999997E-2</v>
      </c>
      <c r="BB19" s="210">
        <f t="shared" si="22"/>
        <v>7.4999999999999997E-2</v>
      </c>
      <c r="BC19" s="204" t="s">
        <v>395</v>
      </c>
      <c r="BD19" s="204" t="s">
        <v>395</v>
      </c>
      <c r="BE19" s="204" t="s">
        <v>395</v>
      </c>
      <c r="BF19" s="204" t="s">
        <v>395</v>
      </c>
      <c r="BG19" s="204" t="s">
        <v>395</v>
      </c>
      <c r="BH19" s="204" t="s">
        <v>395</v>
      </c>
      <c r="BI19" s="204" t="s">
        <v>395</v>
      </c>
      <c r="BJ19" s="204" t="s">
        <v>395</v>
      </c>
      <c r="BK19" s="204" t="s">
        <v>395</v>
      </c>
      <c r="BL19" s="204" t="s">
        <v>395</v>
      </c>
      <c r="BM19" s="204" t="s">
        <v>395</v>
      </c>
      <c r="BN19" s="156">
        <v>47</v>
      </c>
      <c r="BO19" s="241" t="s">
        <v>395</v>
      </c>
      <c r="BP19" s="241" t="s">
        <v>395</v>
      </c>
      <c r="BQ19" s="241" t="s">
        <v>395</v>
      </c>
      <c r="BR19" s="241" t="s">
        <v>395</v>
      </c>
      <c r="BS19" s="241" t="s">
        <v>395</v>
      </c>
      <c r="BT19" s="241" t="s">
        <v>395</v>
      </c>
      <c r="BU19" s="241" t="s">
        <v>395</v>
      </c>
      <c r="BV19" s="241" t="s">
        <v>395</v>
      </c>
      <c r="BW19" s="241" t="s">
        <v>395</v>
      </c>
      <c r="BX19" s="241" t="s">
        <v>395</v>
      </c>
      <c r="BY19" s="241" t="s">
        <v>395</v>
      </c>
      <c r="BZ19" s="241" t="s">
        <v>395</v>
      </c>
      <c r="CA19" s="241" t="s">
        <v>395</v>
      </c>
      <c r="CB19" s="241" t="s">
        <v>395</v>
      </c>
      <c r="CC19" s="241" t="s">
        <v>395</v>
      </c>
      <c r="CD19" s="241" t="s">
        <v>395</v>
      </c>
      <c r="CE19" s="241" t="s">
        <v>395</v>
      </c>
      <c r="CF19" s="241" t="s">
        <v>395</v>
      </c>
      <c r="CG19" s="241" t="s">
        <v>395</v>
      </c>
      <c r="CH19" s="241" t="s">
        <v>395</v>
      </c>
      <c r="CI19" s="211">
        <f t="shared" si="10"/>
        <v>0.35266086956520404</v>
      </c>
      <c r="CJ19" s="211">
        <f t="shared" si="10"/>
        <v>1.7633043478260202</v>
      </c>
      <c r="CK19" s="211">
        <f t="shared" si="10"/>
        <v>8.081811594202593</v>
      </c>
      <c r="CL19" s="211">
        <f t="shared" si="10"/>
        <v>7.0532173913040808</v>
      </c>
      <c r="CM19" s="211">
        <f t="shared" si="10"/>
        <v>16.898333333332694</v>
      </c>
      <c r="CN19" s="211">
        <f t="shared" si="10"/>
        <v>15.428913043477678</v>
      </c>
      <c r="CO19" s="211">
        <f t="shared" si="10"/>
        <v>4.4817318840578011</v>
      </c>
      <c r="CP19" s="211">
        <f t="shared" si="10"/>
        <v>54.059972463766066</v>
      </c>
      <c r="CQ19" s="211">
        <f t="shared" si="11"/>
        <v>0.58776811594200673</v>
      </c>
      <c r="CR19" s="211">
        <f t="shared" si="11"/>
        <v>0.40409057971012963</v>
      </c>
      <c r="CS19" s="211">
        <f t="shared" si="11"/>
        <v>0.24245434782607778</v>
      </c>
      <c r="CT19" s="211">
        <f t="shared" si="11"/>
        <v>8.816521739130101E-2</v>
      </c>
      <c r="CU19" s="211">
        <f t="shared" si="11"/>
        <v>7.1266884057968313E-2</v>
      </c>
      <c r="CV19" s="211">
        <f t="shared" si="11"/>
        <v>8.816521739130101E-2</v>
      </c>
      <c r="CW19" s="211">
        <f t="shared" si="11"/>
        <v>0.17265688405796448</v>
      </c>
      <c r="CX19" s="211">
        <f t="shared" si="11"/>
        <v>1.3224782608695151</v>
      </c>
      <c r="CY19" s="59" t="s">
        <v>395</v>
      </c>
    </row>
    <row r="20" spans="1:103" s="204" customFormat="1" x14ac:dyDescent="0.3">
      <c r="A20" s="235" t="s">
        <v>5</v>
      </c>
      <c r="B20" s="179" t="s">
        <v>5</v>
      </c>
      <c r="C20" s="236" t="s">
        <v>20</v>
      </c>
      <c r="D20" s="237"/>
      <c r="E20" s="237"/>
      <c r="F20" s="237"/>
      <c r="G20" s="219">
        <v>45533</v>
      </c>
      <c r="H20" s="204">
        <v>2024</v>
      </c>
      <c r="I20" s="237" t="s">
        <v>33</v>
      </c>
      <c r="J20" s="206">
        <v>10</v>
      </c>
      <c r="K20" s="212">
        <v>1.0124724871606601</v>
      </c>
      <c r="L20" s="204" t="s">
        <v>395</v>
      </c>
      <c r="M20" s="193">
        <v>2.1</v>
      </c>
      <c r="N20" s="193">
        <v>5.2</v>
      </c>
      <c r="O20" s="193">
        <v>18</v>
      </c>
      <c r="P20" s="193">
        <v>17</v>
      </c>
      <c r="Q20" s="193">
        <v>27</v>
      </c>
      <c r="R20" s="193">
        <v>26</v>
      </c>
      <c r="S20" s="193">
        <v>6.2</v>
      </c>
      <c r="T20" s="195">
        <v>101.5</v>
      </c>
      <c r="U20" s="207">
        <f t="shared" si="6"/>
        <v>417.29528985507864</v>
      </c>
      <c r="V20" s="208">
        <f>0.5*0.026</f>
        <v>1.2999999999999999E-2</v>
      </c>
      <c r="W20" s="208">
        <v>0.23</v>
      </c>
      <c r="X20" s="208">
        <v>0.13</v>
      </c>
      <c r="Y20" s="208">
        <v>0.19</v>
      </c>
      <c r="Z20" s="208">
        <f>0.5*0.026</f>
        <v>1.2999999999999999E-2</v>
      </c>
      <c r="AA20" s="208">
        <v>5.1999999999999998E-2</v>
      </c>
      <c r="AB20" s="208">
        <v>3.9E-2</v>
      </c>
      <c r="AC20" s="214">
        <f>0.5*0.052</f>
        <v>2.5999999999999999E-2</v>
      </c>
      <c r="AD20" s="209">
        <v>0.64</v>
      </c>
      <c r="AE20" s="208">
        <f t="shared" si="0"/>
        <v>0.65400000000000014</v>
      </c>
      <c r="AF20" s="196">
        <v>2.1000000000000001E-2</v>
      </c>
      <c r="AG20" s="208">
        <f t="shared" si="1"/>
        <v>0.10370652173913197</v>
      </c>
      <c r="AH20" s="215">
        <v>9.0075098039215682</v>
      </c>
      <c r="AI20" s="210">
        <f t="shared" si="7"/>
        <v>7.4999999999999997E-2</v>
      </c>
      <c r="AJ20" s="210">
        <f t="shared" si="12"/>
        <v>7.4999999999999997E-2</v>
      </c>
      <c r="AK20" s="210">
        <f>0.5*0.15</f>
        <v>7.4999999999999997E-2</v>
      </c>
      <c r="AL20" s="210">
        <f>0.5*0.15</f>
        <v>7.4999999999999997E-2</v>
      </c>
      <c r="AM20" s="210">
        <f>0.5*0.15</f>
        <v>7.4999999999999997E-2</v>
      </c>
      <c r="AN20" s="210">
        <v>0.25472549019607843</v>
      </c>
      <c r="AO20" s="240">
        <v>0.13629411764705882</v>
      </c>
      <c r="AP20" s="210">
        <f t="shared" si="2"/>
        <v>7.4999999999999997E-2</v>
      </c>
      <c r="AQ20" s="210">
        <v>0.40688235294117653</v>
      </c>
      <c r="AR20" s="210">
        <f t="shared" si="21"/>
        <v>7.4999999999999997E-2</v>
      </c>
      <c r="AS20" s="210">
        <v>0.85200000000000009</v>
      </c>
      <c r="AT20" s="210">
        <v>0.2521176470588235</v>
      </c>
      <c r="AU20" s="210">
        <f t="shared" si="19"/>
        <v>0.105</v>
      </c>
      <c r="AV20" s="210">
        <f>0.5*0.15</f>
        <v>7.4999999999999997E-2</v>
      </c>
      <c r="AW20" s="240">
        <v>7.0411764705882354E-2</v>
      </c>
      <c r="AX20" s="210">
        <f t="shared" ref="AX20:AY23" si="23">0.5*0.15</f>
        <v>7.4999999999999997E-2</v>
      </c>
      <c r="AY20" s="210">
        <f t="shared" si="23"/>
        <v>7.4999999999999997E-2</v>
      </c>
      <c r="AZ20" s="210">
        <f t="shared" si="20"/>
        <v>7.4999999999999997E-2</v>
      </c>
      <c r="BA20" s="210">
        <f t="shared" si="22"/>
        <v>7.4999999999999997E-2</v>
      </c>
      <c r="BB20" s="210">
        <f t="shared" si="22"/>
        <v>7.4999999999999997E-2</v>
      </c>
      <c r="BC20" s="204" t="s">
        <v>395</v>
      </c>
      <c r="BD20" s="204" t="s">
        <v>395</v>
      </c>
      <c r="BE20" s="204" t="s">
        <v>395</v>
      </c>
      <c r="BF20" s="204" t="s">
        <v>395</v>
      </c>
      <c r="BG20" s="204" t="s">
        <v>395</v>
      </c>
      <c r="BH20" s="204" t="s">
        <v>395</v>
      </c>
      <c r="BI20" s="204" t="s">
        <v>395</v>
      </c>
      <c r="BJ20" s="204" t="s">
        <v>395</v>
      </c>
      <c r="BK20" s="204" t="s">
        <v>395</v>
      </c>
      <c r="BL20" s="204" t="s">
        <v>395</v>
      </c>
      <c r="BM20" s="204" t="s">
        <v>395</v>
      </c>
      <c r="BN20" s="156">
        <v>48</v>
      </c>
      <c r="BO20" s="241" t="s">
        <v>395</v>
      </c>
      <c r="BP20" s="241" t="s">
        <v>395</v>
      </c>
      <c r="BQ20" s="241" t="s">
        <v>395</v>
      </c>
      <c r="BR20" s="241" t="s">
        <v>395</v>
      </c>
      <c r="BS20" s="241" t="s">
        <v>395</v>
      </c>
      <c r="BT20" s="241" t="s">
        <v>395</v>
      </c>
      <c r="BU20" s="241" t="s">
        <v>395</v>
      </c>
      <c r="BV20" s="241" t="s">
        <v>395</v>
      </c>
      <c r="BW20" s="241" t="s">
        <v>395</v>
      </c>
      <c r="BX20" s="241" t="s">
        <v>395</v>
      </c>
      <c r="BY20" s="241" t="s">
        <v>395</v>
      </c>
      <c r="BZ20" s="241" t="s">
        <v>395</v>
      </c>
      <c r="CA20" s="241" t="s">
        <v>395</v>
      </c>
      <c r="CB20" s="241" t="s">
        <v>395</v>
      </c>
      <c r="CC20" s="241" t="s">
        <v>395</v>
      </c>
      <c r="CD20" s="241" t="s">
        <v>395</v>
      </c>
      <c r="CE20" s="241" t="s">
        <v>395</v>
      </c>
      <c r="CF20" s="241" t="s">
        <v>395</v>
      </c>
      <c r="CG20" s="241" t="s">
        <v>395</v>
      </c>
      <c r="CH20" s="241" t="s">
        <v>395</v>
      </c>
      <c r="CI20" s="211">
        <f t="shared" si="10"/>
        <v>10.370652173913196</v>
      </c>
      <c r="CJ20" s="211">
        <f t="shared" si="10"/>
        <v>25.679710144927917</v>
      </c>
      <c r="CK20" s="211">
        <f t="shared" si="10"/>
        <v>88.891304347827401</v>
      </c>
      <c r="CL20" s="211">
        <f t="shared" si="10"/>
        <v>83.952898550725877</v>
      </c>
      <c r="CM20" s="211">
        <f t="shared" si="10"/>
        <v>133.33695652174109</v>
      </c>
      <c r="CN20" s="211">
        <f t="shared" si="10"/>
        <v>128.39855072463956</v>
      </c>
      <c r="CO20" s="211">
        <f t="shared" si="10"/>
        <v>30.618115942029437</v>
      </c>
      <c r="CP20" s="211">
        <f t="shared" si="10"/>
        <v>501.24818840580451</v>
      </c>
      <c r="CQ20" s="211">
        <f t="shared" si="11"/>
        <v>1.1358333333333501</v>
      </c>
      <c r="CR20" s="211">
        <f t="shared" si="11"/>
        <v>0.64199275362319785</v>
      </c>
      <c r="CS20" s="211">
        <f t="shared" si="11"/>
        <v>0.93829710144928924</v>
      </c>
      <c r="CT20" s="211">
        <f t="shared" si="11"/>
        <v>6.4199275362319785E-2</v>
      </c>
      <c r="CU20" s="211">
        <f t="shared" si="11"/>
        <v>0.25679710144927914</v>
      </c>
      <c r="CV20" s="211">
        <f t="shared" si="11"/>
        <v>0.19259782608695936</v>
      </c>
      <c r="CW20" s="211">
        <f t="shared" si="11"/>
        <v>0.12839855072463957</v>
      </c>
      <c r="CX20" s="211">
        <f t="shared" si="11"/>
        <v>3.1605797101449742</v>
      </c>
      <c r="CY20" s="59" t="s">
        <v>395</v>
      </c>
    </row>
    <row r="21" spans="1:103" s="204" customFormat="1" x14ac:dyDescent="0.3">
      <c r="A21" s="235" t="s">
        <v>166</v>
      </c>
      <c r="B21" s="179" t="s">
        <v>166</v>
      </c>
      <c r="C21" s="236" t="s">
        <v>20</v>
      </c>
      <c r="D21" s="237"/>
      <c r="E21" s="237"/>
      <c r="F21" s="237"/>
      <c r="G21" s="219">
        <v>45494</v>
      </c>
      <c r="H21" s="204">
        <v>2024</v>
      </c>
      <c r="I21" s="237" t="s">
        <v>33</v>
      </c>
      <c r="J21" s="206">
        <v>10</v>
      </c>
      <c r="K21" s="212">
        <v>0.68558168969515598</v>
      </c>
      <c r="L21" s="204" t="s">
        <v>395</v>
      </c>
      <c r="M21" s="238">
        <v>1.9E-2</v>
      </c>
      <c r="N21" s="193">
        <v>0.24</v>
      </c>
      <c r="O21" s="193">
        <v>3.4</v>
      </c>
      <c r="P21" s="193">
        <v>3.7</v>
      </c>
      <c r="Q21" s="193">
        <v>9.6999999999999993</v>
      </c>
      <c r="R21" s="193">
        <v>8.5</v>
      </c>
      <c r="S21" s="193">
        <v>2.9</v>
      </c>
      <c r="T21" s="195">
        <v>28.458999999999996</v>
      </c>
      <c r="U21" s="207">
        <f t="shared" si="6"/>
        <v>180.56929153846778</v>
      </c>
      <c r="V21" s="208">
        <f>0.5*0.026</f>
        <v>1.2999999999999999E-2</v>
      </c>
      <c r="W21" s="208">
        <v>6.0999999999999999E-2</v>
      </c>
      <c r="X21" s="213">
        <v>0.2</v>
      </c>
      <c r="Y21" s="208">
        <v>3.5000000000000003E-2</v>
      </c>
      <c r="Z21" s="208">
        <f>0.5*0.026</f>
        <v>1.2999999999999999E-2</v>
      </c>
      <c r="AA21" s="240">
        <v>0.01</v>
      </c>
      <c r="AB21" s="239">
        <v>1.6E-2</v>
      </c>
      <c r="AC21" s="214">
        <f>0.5*0.051</f>
        <v>2.5499999999999998E-2</v>
      </c>
      <c r="AD21" s="209">
        <v>0.32</v>
      </c>
      <c r="AE21" s="208">
        <f t="shared" si="0"/>
        <v>0.33500000000000002</v>
      </c>
      <c r="AF21" s="197">
        <v>4.3999999999999997E-2</v>
      </c>
      <c r="AG21" s="208">
        <f t="shared" si="1"/>
        <v>0.32089538461539574</v>
      </c>
      <c r="AH21" s="207">
        <v>10.823637992831541</v>
      </c>
      <c r="AI21" s="210">
        <f t="shared" si="7"/>
        <v>7.4999999999999997E-2</v>
      </c>
      <c r="AJ21" s="210">
        <f t="shared" si="12"/>
        <v>7.4999999999999997E-2</v>
      </c>
      <c r="AK21" s="240">
        <v>7.4731182795698931E-2</v>
      </c>
      <c r="AL21" s="210">
        <f>0.5*0.15</f>
        <v>7.4999999999999997E-2</v>
      </c>
      <c r="AM21" s="240">
        <v>7.9068100358422946E-2</v>
      </c>
      <c r="AN21" s="210">
        <v>0.85899641577060926</v>
      </c>
      <c r="AO21" s="210">
        <v>0.20887096774193545</v>
      </c>
      <c r="AP21" s="210">
        <f t="shared" si="2"/>
        <v>7.4999999999999997E-2</v>
      </c>
      <c r="AQ21" s="210">
        <v>0.5921505376344085</v>
      </c>
      <c r="AR21" s="210">
        <f t="shared" si="21"/>
        <v>7.4999999999999997E-2</v>
      </c>
      <c r="AS21" s="210">
        <v>0.58580645161290323</v>
      </c>
      <c r="AT21" s="210">
        <f>0.5*0.15</f>
        <v>7.4999999999999997E-2</v>
      </c>
      <c r="AU21" s="210">
        <f t="shared" si="19"/>
        <v>0.105</v>
      </c>
      <c r="AV21" s="210">
        <f>0.5*0.15</f>
        <v>7.4999999999999997E-2</v>
      </c>
      <c r="AW21" s="210">
        <f>0.5*0.15</f>
        <v>7.4999999999999997E-2</v>
      </c>
      <c r="AX21" s="210">
        <f t="shared" si="23"/>
        <v>7.4999999999999997E-2</v>
      </c>
      <c r="AY21" s="210">
        <f t="shared" si="23"/>
        <v>7.4999999999999997E-2</v>
      </c>
      <c r="AZ21" s="210">
        <f t="shared" si="20"/>
        <v>7.4999999999999997E-2</v>
      </c>
      <c r="BA21" s="210">
        <f t="shared" si="22"/>
        <v>7.4999999999999997E-2</v>
      </c>
      <c r="BB21" s="210">
        <f t="shared" si="22"/>
        <v>7.4999999999999997E-2</v>
      </c>
      <c r="BC21" s="204" t="s">
        <v>395</v>
      </c>
      <c r="BD21" s="204" t="s">
        <v>395</v>
      </c>
      <c r="BE21" s="204" t="s">
        <v>395</v>
      </c>
      <c r="BF21" s="204" t="s">
        <v>395</v>
      </c>
      <c r="BG21" s="204" t="s">
        <v>395</v>
      </c>
      <c r="BH21" s="204" t="s">
        <v>395</v>
      </c>
      <c r="BI21" s="204" t="s">
        <v>395</v>
      </c>
      <c r="BJ21" s="204" t="s">
        <v>395</v>
      </c>
      <c r="BK21" s="204" t="s">
        <v>395</v>
      </c>
      <c r="BL21" s="204" t="s">
        <v>395</v>
      </c>
      <c r="BM21" s="204" t="s">
        <v>395</v>
      </c>
      <c r="BN21" s="156">
        <v>89</v>
      </c>
      <c r="BO21" s="241" t="s">
        <v>395</v>
      </c>
      <c r="BP21" s="241" t="s">
        <v>395</v>
      </c>
      <c r="BQ21" s="241" t="s">
        <v>395</v>
      </c>
      <c r="BR21" s="241" t="s">
        <v>395</v>
      </c>
      <c r="BS21" s="241" t="s">
        <v>395</v>
      </c>
      <c r="BT21" s="241" t="s">
        <v>395</v>
      </c>
      <c r="BU21" s="241" t="s">
        <v>395</v>
      </c>
      <c r="BV21" s="241" t="s">
        <v>395</v>
      </c>
      <c r="BW21" s="241" t="s">
        <v>395</v>
      </c>
      <c r="BX21" s="241" t="s">
        <v>395</v>
      </c>
      <c r="BY21" s="241" t="s">
        <v>395</v>
      </c>
      <c r="BZ21" s="241" t="s">
        <v>395</v>
      </c>
      <c r="CA21" s="241" t="s">
        <v>395</v>
      </c>
      <c r="CB21" s="241" t="s">
        <v>395</v>
      </c>
      <c r="CC21" s="241" t="s">
        <v>395</v>
      </c>
      <c r="CD21" s="241" t="s">
        <v>395</v>
      </c>
      <c r="CE21" s="241" t="s">
        <v>395</v>
      </c>
      <c r="CF21" s="241" t="s">
        <v>395</v>
      </c>
      <c r="CG21" s="241" t="s">
        <v>395</v>
      </c>
      <c r="CH21" s="241" t="s">
        <v>395</v>
      </c>
      <c r="CI21" s="211">
        <f t="shared" si="10"/>
        <v>0.13856846153846636</v>
      </c>
      <c r="CJ21" s="211">
        <f t="shared" si="10"/>
        <v>1.7503384615385222</v>
      </c>
      <c r="CK21" s="211">
        <f t="shared" si="10"/>
        <v>24.796461538462399</v>
      </c>
      <c r="CL21" s="211">
        <f t="shared" si="10"/>
        <v>26.984384615385554</v>
      </c>
      <c r="CM21" s="211">
        <f t="shared" si="10"/>
        <v>70.742846153848603</v>
      </c>
      <c r="CN21" s="211">
        <f t="shared" si="10"/>
        <v>61.991153846156003</v>
      </c>
      <c r="CO21" s="211">
        <f t="shared" si="10"/>
        <v>21.149923076923812</v>
      </c>
      <c r="CP21" s="211">
        <f t="shared" si="10"/>
        <v>207.55367615385333</v>
      </c>
      <c r="CQ21" s="211">
        <f t="shared" si="11"/>
        <v>0.44487769230770774</v>
      </c>
      <c r="CR21" s="211">
        <f t="shared" si="11"/>
        <v>1.4586153846154355</v>
      </c>
      <c r="CS21" s="211">
        <f t="shared" si="11"/>
        <v>0.25525769230770118</v>
      </c>
      <c r="CT21" s="211">
        <f t="shared" si="11"/>
        <v>9.4810000000003294E-2</v>
      </c>
      <c r="CU21" s="211">
        <f t="shared" si="11"/>
        <v>7.2930769230771769E-2</v>
      </c>
      <c r="CV21" s="211">
        <f t="shared" si="11"/>
        <v>0.11668923076923483</v>
      </c>
      <c r="CW21" s="211">
        <f t="shared" si="11"/>
        <v>0.185973461538468</v>
      </c>
      <c r="CX21" s="211">
        <f t="shared" si="11"/>
        <v>2.3337846153846966</v>
      </c>
      <c r="CY21" s="59" t="s">
        <v>395</v>
      </c>
    </row>
    <row r="22" spans="1:103" s="204" customFormat="1" x14ac:dyDescent="0.3">
      <c r="A22" s="235" t="s">
        <v>371</v>
      </c>
      <c r="B22" s="179" t="s">
        <v>372</v>
      </c>
      <c r="C22" s="236" t="s">
        <v>20</v>
      </c>
      <c r="D22" s="237"/>
      <c r="E22" s="237"/>
      <c r="F22" s="237"/>
      <c r="G22" s="219">
        <v>45537</v>
      </c>
      <c r="H22" s="204">
        <v>2024</v>
      </c>
      <c r="I22" s="237" t="s">
        <v>33</v>
      </c>
      <c r="J22" s="206">
        <v>10</v>
      </c>
      <c r="K22" s="212">
        <v>0.89539660802693899</v>
      </c>
      <c r="L22" s="204" t="s">
        <v>395</v>
      </c>
      <c r="M22" s="193">
        <v>0.21</v>
      </c>
      <c r="N22" s="193">
        <v>0.97</v>
      </c>
      <c r="O22" s="193">
        <v>1.2</v>
      </c>
      <c r="P22" s="193">
        <v>1.1000000000000001</v>
      </c>
      <c r="Q22" s="193">
        <v>1.7</v>
      </c>
      <c r="R22" s="193">
        <v>1.4</v>
      </c>
      <c r="S22" s="193">
        <v>0.47</v>
      </c>
      <c r="T22" s="194">
        <v>7.05</v>
      </c>
      <c r="U22" s="207">
        <f t="shared" si="6"/>
        <v>33.225500000001048</v>
      </c>
      <c r="V22" s="208">
        <f>0.5*0.026</f>
        <v>1.2999999999999999E-2</v>
      </c>
      <c r="W22" s="208">
        <v>5.6000000000000001E-2</v>
      </c>
      <c r="X22" s="239">
        <v>1.7999999999999999E-2</v>
      </c>
      <c r="Y22" s="208">
        <v>3.1E-2</v>
      </c>
      <c r="Z22" s="208">
        <f>0.5*0.026</f>
        <v>1.2999999999999999E-2</v>
      </c>
      <c r="AA22" s="239">
        <v>9.2999999999999992E-3</v>
      </c>
      <c r="AB22" s="208">
        <f>0.5*0.026</f>
        <v>1.2999999999999999E-2</v>
      </c>
      <c r="AC22" s="214">
        <f>0.5*0.053</f>
        <v>2.6499999999999999E-2</v>
      </c>
      <c r="AD22" s="209">
        <v>0.11</v>
      </c>
      <c r="AE22" s="208">
        <f t="shared" si="0"/>
        <v>0.14030000000000001</v>
      </c>
      <c r="AF22" s="196">
        <v>7.4999999999999997E-3</v>
      </c>
      <c r="AG22" s="208">
        <f t="shared" si="1"/>
        <v>4.1880882352942496E-2</v>
      </c>
      <c r="AH22" s="215">
        <v>9.3587435897435896</v>
      </c>
      <c r="AI22" s="210">
        <f t="shared" si="7"/>
        <v>7.4999999999999997E-2</v>
      </c>
      <c r="AJ22" s="210">
        <f t="shared" si="12"/>
        <v>7.4999999999999997E-2</v>
      </c>
      <c r="AK22" s="210">
        <f>0.5*0.15</f>
        <v>7.4999999999999997E-2</v>
      </c>
      <c r="AL22" s="210">
        <f>0.5*0.15</f>
        <v>7.4999999999999997E-2</v>
      </c>
      <c r="AM22" s="210">
        <f>0.5*0.15</f>
        <v>7.4999999999999997E-2</v>
      </c>
      <c r="AN22" s="210">
        <v>0.22548717948717945</v>
      </c>
      <c r="AO22" s="240">
        <v>9.0307692307692297E-2</v>
      </c>
      <c r="AP22" s="210">
        <f t="shared" si="2"/>
        <v>7.4999999999999997E-2</v>
      </c>
      <c r="AQ22" s="210">
        <v>0.24253846153846151</v>
      </c>
      <c r="AR22" s="210">
        <f t="shared" si="21"/>
        <v>7.4999999999999997E-2</v>
      </c>
      <c r="AS22" s="210">
        <v>0.15084615384615385</v>
      </c>
      <c r="AT22" s="210">
        <f>0.5*0.15</f>
        <v>7.4999999999999997E-2</v>
      </c>
      <c r="AU22" s="210">
        <f t="shared" si="19"/>
        <v>0.105</v>
      </c>
      <c r="AV22" s="210">
        <f>0.5*0.15</f>
        <v>7.4999999999999997E-2</v>
      </c>
      <c r="AW22" s="210">
        <f>0.5*0.15</f>
        <v>7.4999999999999997E-2</v>
      </c>
      <c r="AX22" s="210">
        <f t="shared" si="23"/>
        <v>7.4999999999999997E-2</v>
      </c>
      <c r="AY22" s="210">
        <f t="shared" si="23"/>
        <v>7.4999999999999997E-2</v>
      </c>
      <c r="AZ22" s="210">
        <f t="shared" si="20"/>
        <v>7.4999999999999997E-2</v>
      </c>
      <c r="BA22" s="210">
        <f t="shared" si="22"/>
        <v>7.4999999999999997E-2</v>
      </c>
      <c r="BB22" s="210">
        <f t="shared" si="22"/>
        <v>7.4999999999999997E-2</v>
      </c>
      <c r="BC22" s="204" t="s">
        <v>395</v>
      </c>
      <c r="BD22" s="204" t="s">
        <v>395</v>
      </c>
      <c r="BE22" s="204" t="s">
        <v>395</v>
      </c>
      <c r="BF22" s="204" t="s">
        <v>395</v>
      </c>
      <c r="BG22" s="204" t="s">
        <v>395</v>
      </c>
      <c r="BH22" s="204" t="s">
        <v>395</v>
      </c>
      <c r="BI22" s="204" t="s">
        <v>395</v>
      </c>
      <c r="BJ22" s="204" t="s">
        <v>395</v>
      </c>
      <c r="BK22" s="204" t="s">
        <v>395</v>
      </c>
      <c r="BL22" s="204" t="s">
        <v>395</v>
      </c>
      <c r="BM22" s="204" t="s">
        <v>395</v>
      </c>
      <c r="BN22" s="156">
        <v>86</v>
      </c>
      <c r="BO22" s="241" t="s">
        <v>395</v>
      </c>
      <c r="BP22" s="241" t="s">
        <v>395</v>
      </c>
      <c r="BQ22" s="241" t="s">
        <v>395</v>
      </c>
      <c r="BR22" s="241" t="s">
        <v>395</v>
      </c>
      <c r="BS22" s="241" t="s">
        <v>395</v>
      </c>
      <c r="BT22" s="241" t="s">
        <v>395</v>
      </c>
      <c r="BU22" s="241" t="s">
        <v>395</v>
      </c>
      <c r="BV22" s="241" t="s">
        <v>395</v>
      </c>
      <c r="BW22" s="241" t="s">
        <v>395</v>
      </c>
      <c r="BX22" s="241" t="s">
        <v>395</v>
      </c>
      <c r="BY22" s="241" t="s">
        <v>395</v>
      </c>
      <c r="BZ22" s="241" t="s">
        <v>395</v>
      </c>
      <c r="CA22" s="241" t="s">
        <v>395</v>
      </c>
      <c r="CB22" s="241" t="s">
        <v>395</v>
      </c>
      <c r="CC22" s="241" t="s">
        <v>395</v>
      </c>
      <c r="CD22" s="241" t="s">
        <v>395</v>
      </c>
      <c r="CE22" s="241" t="s">
        <v>395</v>
      </c>
      <c r="CF22" s="241" t="s">
        <v>395</v>
      </c>
      <c r="CG22" s="241" t="s">
        <v>395</v>
      </c>
      <c r="CH22" s="241" t="s">
        <v>395</v>
      </c>
      <c r="CI22" s="211">
        <f t="shared" si="10"/>
        <v>1.1726647058823898</v>
      </c>
      <c r="CJ22" s="211">
        <f t="shared" si="10"/>
        <v>5.4165941176472288</v>
      </c>
      <c r="CK22" s="211">
        <f t="shared" si="10"/>
        <v>6.7009411764707991</v>
      </c>
      <c r="CL22" s="211">
        <f t="shared" si="10"/>
        <v>6.1425294117649001</v>
      </c>
      <c r="CM22" s="211">
        <f t="shared" si="10"/>
        <v>9.4930000000002988</v>
      </c>
      <c r="CN22" s="211">
        <f t="shared" si="10"/>
        <v>7.8177647058825981</v>
      </c>
      <c r="CO22" s="211">
        <f t="shared" si="10"/>
        <v>2.6245352941177296</v>
      </c>
      <c r="CP22" s="211">
        <f t="shared" si="10"/>
        <v>39.368029411765946</v>
      </c>
      <c r="CQ22" s="211">
        <f t="shared" si="11"/>
        <v>0.31271058823530395</v>
      </c>
      <c r="CR22" s="211">
        <f t="shared" si="11"/>
        <v>0.10051411764706197</v>
      </c>
      <c r="CS22" s="211">
        <f t="shared" si="11"/>
        <v>0.17310764705882897</v>
      </c>
      <c r="CT22" s="211">
        <f t="shared" si="11"/>
        <v>7.2593529411766985E-2</v>
      </c>
      <c r="CU22" s="211">
        <f t="shared" si="11"/>
        <v>5.1932294117648686E-2</v>
      </c>
      <c r="CV22" s="211">
        <f t="shared" si="11"/>
        <v>7.2593529411766985E-2</v>
      </c>
      <c r="CW22" s="211">
        <f t="shared" si="11"/>
        <v>0.14797911764706348</v>
      </c>
      <c r="CX22" s="211">
        <f t="shared" si="11"/>
        <v>0.61425294117648988</v>
      </c>
      <c r="CY22" s="59" t="s">
        <v>395</v>
      </c>
    </row>
    <row r="23" spans="1:103" s="204" customFormat="1" x14ac:dyDescent="0.3">
      <c r="A23" s="235" t="s">
        <v>25</v>
      </c>
      <c r="B23" s="179" t="s">
        <v>25</v>
      </c>
      <c r="C23" s="236" t="s">
        <v>20</v>
      </c>
      <c r="D23" s="237"/>
      <c r="E23" s="237"/>
      <c r="F23" s="237"/>
      <c r="G23" s="219">
        <v>45497</v>
      </c>
      <c r="H23" s="204">
        <v>2024</v>
      </c>
      <c r="I23" s="237" t="s">
        <v>33</v>
      </c>
      <c r="J23" s="206">
        <v>10</v>
      </c>
      <c r="K23" s="212">
        <v>0.859747255023808</v>
      </c>
      <c r="L23" s="204" t="s">
        <v>395</v>
      </c>
      <c r="M23" s="238">
        <v>1.6E-2</v>
      </c>
      <c r="N23" s="193">
        <v>4.5999999999999999E-2</v>
      </c>
      <c r="O23" s="199">
        <v>0.9</v>
      </c>
      <c r="P23" s="193">
        <v>0.66</v>
      </c>
      <c r="Q23" s="193">
        <v>3.3</v>
      </c>
      <c r="R23" s="193">
        <v>2.8</v>
      </c>
      <c r="S23" s="193">
        <v>1.1000000000000001</v>
      </c>
      <c r="T23" s="194">
        <v>8.8219999999999992</v>
      </c>
      <c r="U23" s="207">
        <f t="shared" si="6"/>
        <v>47.467438554217765</v>
      </c>
      <c r="V23" s="208">
        <f>0.5*0.026</f>
        <v>1.2999999999999999E-2</v>
      </c>
      <c r="W23" s="210">
        <v>0.08</v>
      </c>
      <c r="X23" s="208">
        <v>4.1000000000000002E-2</v>
      </c>
      <c r="Y23" s="208">
        <v>6.6000000000000003E-2</v>
      </c>
      <c r="Z23" s="208">
        <f>0.5*0.026</f>
        <v>1.2999999999999999E-2</v>
      </c>
      <c r="AA23" s="239">
        <v>9.7999999999999997E-3</v>
      </c>
      <c r="AB23" s="208">
        <f>0.5*0.026</f>
        <v>1.2999999999999999E-2</v>
      </c>
      <c r="AC23" s="214">
        <f>0.5*0.053</f>
        <v>2.6499999999999999E-2</v>
      </c>
      <c r="AD23" s="209">
        <v>0.2</v>
      </c>
      <c r="AE23" s="208">
        <f t="shared" si="0"/>
        <v>0.22280000000000003</v>
      </c>
      <c r="AF23" s="214">
        <v>7.0999999999999994E-2</v>
      </c>
      <c r="AG23" s="208">
        <f t="shared" si="1"/>
        <v>0.41291204819277888</v>
      </c>
      <c r="AH23" s="207">
        <v>28.504732965009207</v>
      </c>
      <c r="AI23" s="210">
        <f t="shared" si="7"/>
        <v>7.4999999999999997E-2</v>
      </c>
      <c r="AJ23" s="210">
        <f t="shared" si="12"/>
        <v>7.4999999999999997E-2</v>
      </c>
      <c r="AK23" s="210">
        <f>0.5*0.15</f>
        <v>7.4999999999999997E-2</v>
      </c>
      <c r="AL23" s="210">
        <f>0.5*0.15</f>
        <v>7.4999999999999997E-2</v>
      </c>
      <c r="AM23" s="240">
        <v>7.3738489871086554E-2</v>
      </c>
      <c r="AN23" s="210">
        <v>0.82360957642725596</v>
      </c>
      <c r="AO23" s="240">
        <v>0.99104972375690603</v>
      </c>
      <c r="AP23" s="210">
        <f t="shared" si="2"/>
        <v>7.4999999999999997E-2</v>
      </c>
      <c r="AQ23" s="210">
        <v>0.40381215469613257</v>
      </c>
      <c r="AR23" s="210">
        <f t="shared" si="21"/>
        <v>7.4999999999999997E-2</v>
      </c>
      <c r="AS23" s="210">
        <v>0.24878453038674031</v>
      </c>
      <c r="AT23" s="240">
        <v>6.8342541436464094E-2</v>
      </c>
      <c r="AU23" s="210">
        <f t="shared" si="19"/>
        <v>0.105</v>
      </c>
      <c r="AV23" s="210">
        <f>0.5*0.15</f>
        <v>7.4999999999999997E-2</v>
      </c>
      <c r="AW23" s="210">
        <f>0.5*0.15</f>
        <v>7.4999999999999997E-2</v>
      </c>
      <c r="AX23" s="210">
        <f t="shared" si="23"/>
        <v>7.4999999999999997E-2</v>
      </c>
      <c r="AY23" s="210">
        <f t="shared" si="23"/>
        <v>7.4999999999999997E-2</v>
      </c>
      <c r="AZ23" s="210">
        <f t="shared" si="20"/>
        <v>7.4999999999999997E-2</v>
      </c>
      <c r="BA23" s="210">
        <f t="shared" si="22"/>
        <v>7.4999999999999997E-2</v>
      </c>
      <c r="BB23" s="210">
        <f t="shared" si="22"/>
        <v>7.4999999999999997E-2</v>
      </c>
      <c r="BC23" s="204" t="s">
        <v>395</v>
      </c>
      <c r="BD23" s="204" t="s">
        <v>395</v>
      </c>
      <c r="BE23" s="204" t="s">
        <v>395</v>
      </c>
      <c r="BF23" s="204" t="s">
        <v>395</v>
      </c>
      <c r="BG23" s="204" t="s">
        <v>395</v>
      </c>
      <c r="BH23" s="204" t="s">
        <v>395</v>
      </c>
      <c r="BI23" s="204" t="s">
        <v>395</v>
      </c>
      <c r="BJ23" s="204" t="s">
        <v>395</v>
      </c>
      <c r="BK23" s="204" t="s">
        <v>395</v>
      </c>
      <c r="BL23" s="204" t="s">
        <v>395</v>
      </c>
      <c r="BM23" s="204" t="s">
        <v>395</v>
      </c>
      <c r="BN23" s="156">
        <v>77</v>
      </c>
      <c r="BO23" s="241" t="s">
        <v>395</v>
      </c>
      <c r="BP23" s="241" t="s">
        <v>395</v>
      </c>
      <c r="BQ23" s="241" t="s">
        <v>395</v>
      </c>
      <c r="BR23" s="241" t="s">
        <v>395</v>
      </c>
      <c r="BS23" s="241" t="s">
        <v>395</v>
      </c>
      <c r="BT23" s="241" t="s">
        <v>395</v>
      </c>
      <c r="BU23" s="241" t="s">
        <v>395</v>
      </c>
      <c r="BV23" s="241" t="s">
        <v>395</v>
      </c>
      <c r="BW23" s="241" t="s">
        <v>395</v>
      </c>
      <c r="BX23" s="241" t="s">
        <v>395</v>
      </c>
      <c r="BY23" s="241" t="s">
        <v>395</v>
      </c>
      <c r="BZ23" s="241" t="s">
        <v>395</v>
      </c>
      <c r="CA23" s="241" t="s">
        <v>395</v>
      </c>
      <c r="CB23" s="241" t="s">
        <v>395</v>
      </c>
      <c r="CC23" s="241" t="s">
        <v>395</v>
      </c>
      <c r="CD23" s="241" t="s">
        <v>395</v>
      </c>
      <c r="CE23" s="241" t="s">
        <v>395</v>
      </c>
      <c r="CF23" s="241" t="s">
        <v>395</v>
      </c>
      <c r="CG23" s="241" t="s">
        <v>395</v>
      </c>
      <c r="CH23" s="241" t="s">
        <v>395</v>
      </c>
      <c r="CI23" s="211">
        <f t="shared" si="10"/>
        <v>9.3050602409640318E-2</v>
      </c>
      <c r="CJ23" s="211">
        <f t="shared" si="10"/>
        <v>0.26752048192771594</v>
      </c>
      <c r="CK23" s="211">
        <f t="shared" si="10"/>
        <v>5.2340963855422684</v>
      </c>
      <c r="CL23" s="211">
        <f t="shared" si="10"/>
        <v>3.8383373493976634</v>
      </c>
      <c r="CM23" s="211">
        <f t="shared" si="10"/>
        <v>19.191686746988314</v>
      </c>
      <c r="CN23" s="211">
        <f t="shared" si="10"/>
        <v>16.283855421687054</v>
      </c>
      <c r="CO23" s="211">
        <f t="shared" si="10"/>
        <v>6.3972289156627724</v>
      </c>
      <c r="CP23" s="211">
        <f t="shared" si="10"/>
        <v>51.305775903615427</v>
      </c>
      <c r="CQ23" s="211">
        <f t="shared" si="11"/>
        <v>0.46525301204820163</v>
      </c>
      <c r="CR23" s="211">
        <f t="shared" si="11"/>
        <v>0.23844216867470333</v>
      </c>
      <c r="CS23" s="211">
        <f t="shared" si="11"/>
        <v>0.38383373493976636</v>
      </c>
      <c r="CT23" s="211">
        <f t="shared" si="11"/>
        <v>7.5603614457832757E-2</v>
      </c>
      <c r="CU23" s="211">
        <f t="shared" si="11"/>
        <v>5.6993493975904697E-2</v>
      </c>
      <c r="CV23" s="211">
        <f t="shared" si="11"/>
        <v>7.5603614457832757E-2</v>
      </c>
      <c r="CW23" s="211">
        <f t="shared" si="11"/>
        <v>0.15411506024096677</v>
      </c>
      <c r="CX23" s="211">
        <f t="shared" si="11"/>
        <v>1.163132530120504</v>
      </c>
      <c r="CY23" s="59" t="s">
        <v>395</v>
      </c>
    </row>
    <row r="24" spans="1:103" x14ac:dyDescent="0.3">
      <c r="A24" s="153" t="s">
        <v>5</v>
      </c>
      <c r="B24" s="153" t="s">
        <v>5</v>
      </c>
      <c r="C24" s="205" t="s">
        <v>20</v>
      </c>
      <c r="D24" s="153"/>
      <c r="E24" s="154"/>
      <c r="F24" s="154"/>
      <c r="G24" s="245">
        <v>45169</v>
      </c>
      <c r="H24" s="1">
        <v>2023</v>
      </c>
      <c r="I24" s="216" t="s">
        <v>33</v>
      </c>
      <c r="J24" s="216">
        <v>10</v>
      </c>
      <c r="K24" s="155">
        <v>0.61740890688266203</v>
      </c>
      <c r="L24" s="155" t="s">
        <v>395</v>
      </c>
      <c r="M24" s="56">
        <v>4.8127812690046623</v>
      </c>
      <c r="N24" s="56">
        <v>7.8949777011960274</v>
      </c>
      <c r="O24" s="55">
        <v>14.68236874113116</v>
      </c>
      <c r="P24" s="55">
        <v>10.639083721873099</v>
      </c>
      <c r="Q24" s="55">
        <v>15.289762821812285</v>
      </c>
      <c r="R24" s="55">
        <v>15.198155280762213</v>
      </c>
      <c r="S24" s="56">
        <v>2.9353334684776002</v>
      </c>
      <c r="T24" s="55">
        <v>71.452463004257041</v>
      </c>
      <c r="U24" s="5">
        <f>SUM(M24,N24,O24,Q24,R24,S24)*(5/K24)</f>
        <v>492.48867812285607</v>
      </c>
      <c r="V24" s="217">
        <f>0.5*0.0253395499695925</f>
        <v>1.266977498479625E-2</v>
      </c>
      <c r="W24" s="6">
        <v>0.16121610489074714</v>
      </c>
      <c r="X24" s="6">
        <v>8.4990663233436833E-2</v>
      </c>
      <c r="Y24" s="6">
        <v>0.10614650769578192</v>
      </c>
      <c r="Z24" s="217">
        <v>1.9088322603970226E-2</v>
      </c>
      <c r="AA24" s="217">
        <v>2.4511806073074877E-2</v>
      </c>
      <c r="AB24" s="217">
        <v>3.0588227273083857E-2</v>
      </c>
      <c r="AC24" s="217">
        <f>0.5*0.0506790999391851</f>
        <v>2.5339549969592551E-2</v>
      </c>
      <c r="AD24" s="6">
        <v>0.42654163177009485</v>
      </c>
      <c r="AE24" s="24">
        <f t="shared" ref="AE24:AE66" si="24">SUM(V24,W24,Y24,X24,AB24,AA24)</f>
        <v>0.42012308415092092</v>
      </c>
      <c r="AF24" s="246" t="s">
        <v>395</v>
      </c>
      <c r="AG24" s="246" t="s">
        <v>395</v>
      </c>
      <c r="AH24" s="218">
        <v>9.5043034320538826</v>
      </c>
      <c r="AI24" s="211">
        <f t="shared" ref="AI24:AI37" si="25">0.5*0.4</f>
        <v>0.2</v>
      </c>
      <c r="AJ24" s="211">
        <v>0.33969492854342626</v>
      </c>
      <c r="AK24" s="211">
        <f t="shared" ref="AK24:AK37" si="26">0.5*0.23</f>
        <v>0.115</v>
      </c>
      <c r="AL24" s="211">
        <f t="shared" ref="AL24:AM27" si="27">0.5*0.15</f>
        <v>7.4999999999999997E-2</v>
      </c>
      <c r="AM24" s="211">
        <f t="shared" si="27"/>
        <v>7.4999999999999997E-2</v>
      </c>
      <c r="AN24" s="211">
        <v>0.65372964111336807</v>
      </c>
      <c r="AO24" s="211">
        <v>0.19667486368010259</v>
      </c>
      <c r="AP24" s="211" t="s">
        <v>395</v>
      </c>
      <c r="AQ24" s="211">
        <v>0.66652410991125821</v>
      </c>
      <c r="AR24" s="211">
        <f t="shared" ref="AR24:AR47" si="28">0.5*0.15</f>
        <v>7.4999999999999997E-2</v>
      </c>
      <c r="AS24" s="218">
        <v>1.5831996863751376</v>
      </c>
      <c r="AT24" s="211">
        <v>0.90936954274920667</v>
      </c>
      <c r="AU24" s="211">
        <v>0.22949855661285143</v>
      </c>
      <c r="AV24" s="211">
        <f t="shared" ref="AV24:AV47" si="29">0.5*0.15</f>
        <v>7.4999999999999997E-2</v>
      </c>
      <c r="AW24" s="211">
        <v>5.7735485940339983E-2</v>
      </c>
      <c r="AX24" s="211">
        <f t="shared" ref="AX24:BB31" si="30">0.5*0.15</f>
        <v>7.4999999999999997E-2</v>
      </c>
      <c r="AY24" s="211">
        <f t="shared" si="30"/>
        <v>7.4999999999999997E-2</v>
      </c>
      <c r="AZ24" s="211">
        <f t="shared" si="30"/>
        <v>7.4999999999999997E-2</v>
      </c>
      <c r="BA24" s="211">
        <f t="shared" si="30"/>
        <v>7.4999999999999997E-2</v>
      </c>
      <c r="BB24" s="211">
        <f t="shared" si="30"/>
        <v>7.4999999999999997E-2</v>
      </c>
      <c r="BC24" s="204" t="s">
        <v>395</v>
      </c>
      <c r="BD24" s="204" t="s">
        <v>395</v>
      </c>
      <c r="BE24" s="204" t="s">
        <v>395</v>
      </c>
      <c r="BF24" s="204" t="s">
        <v>395</v>
      </c>
      <c r="BG24" s="204" t="s">
        <v>395</v>
      </c>
      <c r="BH24" s="204" t="s">
        <v>395</v>
      </c>
      <c r="BI24" s="204" t="s">
        <v>395</v>
      </c>
      <c r="BJ24" s="219" t="s">
        <v>395</v>
      </c>
      <c r="BK24" s="247" t="s">
        <v>395</v>
      </c>
      <c r="BL24" s="246" t="s">
        <v>395</v>
      </c>
      <c r="BM24" s="156" t="s">
        <v>395</v>
      </c>
      <c r="BN24" s="156">
        <v>73</v>
      </c>
      <c r="BO24" s="5" t="s">
        <v>395</v>
      </c>
      <c r="BP24" s="5" t="s">
        <v>395</v>
      </c>
      <c r="BQ24" s="5" t="s">
        <v>395</v>
      </c>
      <c r="BR24" s="5" t="s">
        <v>395</v>
      </c>
      <c r="BS24" s="5" t="s">
        <v>395</v>
      </c>
      <c r="BT24" s="5" t="s">
        <v>395</v>
      </c>
      <c r="BU24" s="5" t="s">
        <v>395</v>
      </c>
      <c r="BV24" s="5" t="s">
        <v>395</v>
      </c>
      <c r="BW24" s="5" t="s">
        <v>395</v>
      </c>
      <c r="BX24" s="5" t="s">
        <v>395</v>
      </c>
      <c r="BY24" s="5" t="s">
        <v>395</v>
      </c>
      <c r="BZ24" s="5" t="s">
        <v>395</v>
      </c>
      <c r="CA24" s="5" t="s">
        <v>395</v>
      </c>
      <c r="CB24" s="5" t="s">
        <v>395</v>
      </c>
      <c r="CC24" s="5" t="s">
        <v>395</v>
      </c>
      <c r="CD24" s="5" t="s">
        <v>395</v>
      </c>
      <c r="CE24" s="5" t="s">
        <v>395</v>
      </c>
      <c r="CF24" s="5" t="s">
        <v>395</v>
      </c>
      <c r="CG24" s="5" t="s">
        <v>395</v>
      </c>
      <c r="CH24" s="5" t="s">
        <v>395</v>
      </c>
      <c r="CI24" s="220" t="s">
        <v>395</v>
      </c>
      <c r="CJ24" s="220" t="s">
        <v>395</v>
      </c>
      <c r="CK24" s="220" t="s">
        <v>395</v>
      </c>
      <c r="CL24" s="220" t="s">
        <v>395</v>
      </c>
      <c r="CM24" s="220" t="s">
        <v>395</v>
      </c>
      <c r="CN24" s="220" t="s">
        <v>395</v>
      </c>
      <c r="CO24" s="220" t="s">
        <v>395</v>
      </c>
      <c r="CP24" s="220" t="s">
        <v>395</v>
      </c>
      <c r="CQ24" s="57" t="s">
        <v>395</v>
      </c>
      <c r="CR24" s="57" t="s">
        <v>395</v>
      </c>
      <c r="CS24" s="57" t="s">
        <v>395</v>
      </c>
      <c r="CT24" s="57" t="s">
        <v>395</v>
      </c>
      <c r="CU24" s="57" t="s">
        <v>395</v>
      </c>
      <c r="CV24" s="57" t="s">
        <v>395</v>
      </c>
      <c r="CW24" s="57" t="s">
        <v>395</v>
      </c>
      <c r="CX24" s="57" t="s">
        <v>395</v>
      </c>
      <c r="CY24" s="59" t="s">
        <v>395</v>
      </c>
    </row>
    <row r="25" spans="1:103" x14ac:dyDescent="0.3">
      <c r="A25" s="153" t="s">
        <v>167</v>
      </c>
      <c r="B25" s="153" t="s">
        <v>167</v>
      </c>
      <c r="C25" s="205" t="s">
        <v>20</v>
      </c>
      <c r="D25" s="153"/>
      <c r="E25" s="154"/>
      <c r="F25" s="154"/>
      <c r="G25" s="245">
        <v>45174</v>
      </c>
      <c r="H25" s="1">
        <v>2023</v>
      </c>
      <c r="I25" s="216" t="s">
        <v>33</v>
      </c>
      <c r="J25" s="216">
        <v>10</v>
      </c>
      <c r="K25" s="155">
        <v>0.56852485409542497</v>
      </c>
      <c r="L25" s="155" t="s">
        <v>395</v>
      </c>
      <c r="M25" s="91">
        <v>0.55535444947209645</v>
      </c>
      <c r="N25" s="56">
        <v>1.4680693815987933</v>
      </c>
      <c r="O25" s="56">
        <v>5.8920412267471081</v>
      </c>
      <c r="P25" s="56">
        <v>4.8552941176470581</v>
      </c>
      <c r="Q25" s="56">
        <v>9.2394067370537964</v>
      </c>
      <c r="R25" s="56">
        <v>8.4134942182001016</v>
      </c>
      <c r="S25" s="56">
        <v>1.8209049773755654</v>
      </c>
      <c r="T25" s="55">
        <v>32.244565108094513</v>
      </c>
      <c r="U25" s="5">
        <f t="shared" ref="U25:U65" si="31">SUM(M25,N25,O25,Q25,R25,S25)*(5/K25)</f>
        <v>240.88015495845204</v>
      </c>
      <c r="V25" s="217">
        <f>0.5*0.0251382604323781</f>
        <v>1.2569130216189051E-2</v>
      </c>
      <c r="W25" s="6">
        <v>0.11514735685776428</v>
      </c>
      <c r="X25" s="217">
        <v>5.8818646140047282E-2</v>
      </c>
      <c r="Y25" s="217">
        <v>2.1062693854441143E-2</v>
      </c>
      <c r="Z25" s="217">
        <v>1.7454497522672658E-2</v>
      </c>
      <c r="AA25" s="217">
        <v>1.7526688127611819E-2</v>
      </c>
      <c r="AB25" s="217">
        <v>1.5507586635324781E-2</v>
      </c>
      <c r="AC25" s="217">
        <f>0.5*0.0502765208647562</f>
        <v>2.5138260432378101E-2</v>
      </c>
      <c r="AD25" s="6">
        <v>0.24551746913786199</v>
      </c>
      <c r="AE25" s="24">
        <f t="shared" si="24"/>
        <v>0.24063210183137837</v>
      </c>
      <c r="AF25" s="246" t="s">
        <v>395</v>
      </c>
      <c r="AG25" s="246" t="s">
        <v>395</v>
      </c>
      <c r="AH25" s="218">
        <v>4.1781765937758726</v>
      </c>
      <c r="AI25" s="211">
        <f t="shared" si="25"/>
        <v>0.2</v>
      </c>
      <c r="AJ25" s="211">
        <f>0.5*0.21</f>
        <v>0.105</v>
      </c>
      <c r="AK25" s="211">
        <f t="shared" si="26"/>
        <v>0.115</v>
      </c>
      <c r="AL25" s="211">
        <f t="shared" si="27"/>
        <v>7.4999999999999997E-2</v>
      </c>
      <c r="AM25" s="211">
        <f t="shared" si="27"/>
        <v>7.4999999999999997E-2</v>
      </c>
      <c r="AN25" s="211">
        <v>0.2692089157291514</v>
      </c>
      <c r="AO25" s="211">
        <v>0.12287537135343107</v>
      </c>
      <c r="AP25" s="211" t="s">
        <v>395</v>
      </c>
      <c r="AQ25" s="211">
        <v>0.2948911508303706</v>
      </c>
      <c r="AR25" s="211">
        <f t="shared" si="28"/>
        <v>7.4999999999999997E-2</v>
      </c>
      <c r="AS25" s="211">
        <v>0.39849672884300069</v>
      </c>
      <c r="AT25" s="211">
        <v>0.22703290637835027</v>
      </c>
      <c r="AU25" s="211">
        <f>0.5*0.76</f>
        <v>0.38</v>
      </c>
      <c r="AV25" s="211">
        <f t="shared" si="29"/>
        <v>7.4999999999999997E-2</v>
      </c>
      <c r="AW25" s="211">
        <f t="shared" ref="AW25:AW47" si="32">0.5*0.15</f>
        <v>7.4999999999999997E-2</v>
      </c>
      <c r="AX25" s="211">
        <f t="shared" si="30"/>
        <v>7.4999999999999997E-2</v>
      </c>
      <c r="AY25" s="211">
        <f t="shared" si="30"/>
        <v>7.4999999999999997E-2</v>
      </c>
      <c r="AZ25" s="211">
        <f t="shared" si="30"/>
        <v>7.4999999999999997E-2</v>
      </c>
      <c r="BA25" s="211">
        <f t="shared" si="30"/>
        <v>7.4999999999999997E-2</v>
      </c>
      <c r="BB25" s="211">
        <f t="shared" si="30"/>
        <v>7.4999999999999997E-2</v>
      </c>
      <c r="BC25" s="204" t="s">
        <v>395</v>
      </c>
      <c r="BD25" s="204" t="s">
        <v>395</v>
      </c>
      <c r="BE25" s="204" t="s">
        <v>395</v>
      </c>
      <c r="BF25" s="204" t="s">
        <v>395</v>
      </c>
      <c r="BG25" s="204" t="s">
        <v>395</v>
      </c>
      <c r="BH25" s="204" t="s">
        <v>395</v>
      </c>
      <c r="BI25" s="204" t="s">
        <v>395</v>
      </c>
      <c r="BJ25" s="219" t="s">
        <v>395</v>
      </c>
      <c r="BK25" s="221" t="s">
        <v>395</v>
      </c>
      <c r="BL25" s="246" t="s">
        <v>395</v>
      </c>
      <c r="BM25" s="156" t="s">
        <v>395</v>
      </c>
      <c r="BN25" s="156">
        <v>38</v>
      </c>
      <c r="BO25" s="5" t="s">
        <v>395</v>
      </c>
      <c r="BP25" s="5" t="s">
        <v>395</v>
      </c>
      <c r="BQ25" s="5" t="s">
        <v>395</v>
      </c>
      <c r="BR25" s="5" t="s">
        <v>395</v>
      </c>
      <c r="BS25" s="5" t="s">
        <v>395</v>
      </c>
      <c r="BT25" s="5" t="s">
        <v>395</v>
      </c>
      <c r="BU25" s="5" t="s">
        <v>395</v>
      </c>
      <c r="BV25" s="5" t="s">
        <v>395</v>
      </c>
      <c r="BW25" s="5" t="s">
        <v>395</v>
      </c>
      <c r="BX25" s="5" t="s">
        <v>395</v>
      </c>
      <c r="BY25" s="5" t="s">
        <v>395</v>
      </c>
      <c r="BZ25" s="5" t="s">
        <v>395</v>
      </c>
      <c r="CA25" s="5" t="s">
        <v>395</v>
      </c>
      <c r="CB25" s="5" t="s">
        <v>395</v>
      </c>
      <c r="CC25" s="5" t="s">
        <v>395</v>
      </c>
      <c r="CD25" s="5" t="s">
        <v>395</v>
      </c>
      <c r="CE25" s="5" t="s">
        <v>395</v>
      </c>
      <c r="CF25" s="5" t="s">
        <v>395</v>
      </c>
      <c r="CG25" s="5" t="s">
        <v>395</v>
      </c>
      <c r="CH25" s="5" t="s">
        <v>395</v>
      </c>
      <c r="CI25" s="220" t="s">
        <v>395</v>
      </c>
      <c r="CJ25" s="220" t="s">
        <v>395</v>
      </c>
      <c r="CK25" s="220" t="s">
        <v>395</v>
      </c>
      <c r="CL25" s="220" t="s">
        <v>395</v>
      </c>
      <c r="CM25" s="220" t="s">
        <v>395</v>
      </c>
      <c r="CN25" s="220" t="s">
        <v>395</v>
      </c>
      <c r="CO25" s="220" t="s">
        <v>395</v>
      </c>
      <c r="CP25" s="220" t="s">
        <v>395</v>
      </c>
      <c r="CQ25" s="57" t="s">
        <v>395</v>
      </c>
      <c r="CR25" s="57" t="s">
        <v>395</v>
      </c>
      <c r="CS25" s="57" t="s">
        <v>395</v>
      </c>
      <c r="CT25" s="57" t="s">
        <v>395</v>
      </c>
      <c r="CU25" s="57" t="s">
        <v>395</v>
      </c>
      <c r="CV25" s="57" t="s">
        <v>395</v>
      </c>
      <c r="CW25" s="57" t="s">
        <v>395</v>
      </c>
      <c r="CX25" s="57" t="s">
        <v>395</v>
      </c>
      <c r="CY25" s="59" t="s">
        <v>395</v>
      </c>
    </row>
    <row r="26" spans="1:103" x14ac:dyDescent="0.3">
      <c r="A26" s="153" t="s">
        <v>23</v>
      </c>
      <c r="B26" s="153" t="s">
        <v>23</v>
      </c>
      <c r="C26" s="205" t="s">
        <v>20</v>
      </c>
      <c r="D26" s="153"/>
      <c r="E26" s="154"/>
      <c r="F26" s="154"/>
      <c r="G26" s="245">
        <v>45169</v>
      </c>
      <c r="H26" s="1">
        <v>2023</v>
      </c>
      <c r="I26" s="216" t="s">
        <v>33</v>
      </c>
      <c r="J26" s="216">
        <v>10</v>
      </c>
      <c r="K26" s="155">
        <v>0.56772908366536023</v>
      </c>
      <c r="L26" s="155" t="s">
        <v>395</v>
      </c>
      <c r="M26" s="91">
        <v>0.20016655236602329</v>
      </c>
      <c r="N26" s="56">
        <v>1.168085627510532</v>
      </c>
      <c r="O26" s="56">
        <v>4.4648329577740764</v>
      </c>
      <c r="P26" s="56">
        <v>3.3233957088272752</v>
      </c>
      <c r="Q26" s="56">
        <v>8.3775546193788557</v>
      </c>
      <c r="R26" s="56">
        <v>7.7184481238365823</v>
      </c>
      <c r="S26" s="56">
        <v>2.0277358675418826</v>
      </c>
      <c r="T26" s="55">
        <v>27.280219457235223</v>
      </c>
      <c r="U26" s="5">
        <f t="shared" si="31"/>
        <v>210.9881670473743</v>
      </c>
      <c r="V26" s="217">
        <f>0.5*0.024492995003429</f>
        <v>1.22464975017145E-2</v>
      </c>
      <c r="W26" s="217">
        <v>4.1362112151506883E-2</v>
      </c>
      <c r="X26" s="217">
        <v>2.8783740535993703E-2</v>
      </c>
      <c r="Y26" s="217">
        <v>1.7120965943289226E-2</v>
      </c>
      <c r="Z26" s="217">
        <v>2.2125998443970289E-2</v>
      </c>
      <c r="AA26" s="217">
        <f>0.5*0.0391887920054864</f>
        <v>1.9594396002743202E-2</v>
      </c>
      <c r="AB26" s="217">
        <f>0.5*0.024492995003429</f>
        <v>1.22464975017145E-2</v>
      </c>
      <c r="AC26" s="217">
        <f>0.5*0.048985990006858</f>
        <v>2.4492995003429E-2</v>
      </c>
      <c r="AD26" s="6">
        <v>0.1093928170747601</v>
      </c>
      <c r="AE26" s="24">
        <f t="shared" si="24"/>
        <v>0.13135420963696201</v>
      </c>
      <c r="AF26" s="246" t="s">
        <v>395</v>
      </c>
      <c r="AG26" s="246" t="s">
        <v>395</v>
      </c>
      <c r="AH26" s="222">
        <v>13.485258489713795</v>
      </c>
      <c r="AI26" s="211">
        <f t="shared" si="25"/>
        <v>0.2</v>
      </c>
      <c r="AJ26" s="211">
        <f>0.5*0.21</f>
        <v>0.105</v>
      </c>
      <c r="AK26" s="211">
        <f t="shared" si="26"/>
        <v>0.115</v>
      </c>
      <c r="AL26" s="211">
        <f t="shared" si="27"/>
        <v>7.4999999999999997E-2</v>
      </c>
      <c r="AM26" s="211">
        <f t="shared" si="27"/>
        <v>7.4999999999999997E-2</v>
      </c>
      <c r="AN26" s="218">
        <v>1.0733653622414763</v>
      </c>
      <c r="AO26" s="211">
        <v>0.10807703363035358</v>
      </c>
      <c r="AP26" s="211" t="s">
        <v>395</v>
      </c>
      <c r="AQ26" s="211">
        <v>0.78409230895577553</v>
      </c>
      <c r="AR26" s="211">
        <f t="shared" si="28"/>
        <v>7.4999999999999997E-2</v>
      </c>
      <c r="AS26" s="211">
        <v>0.94626260967163534</v>
      </c>
      <c r="AT26" s="211">
        <v>0.4316785064126254</v>
      </c>
      <c r="AU26" s="211">
        <v>0.33018519278938946</v>
      </c>
      <c r="AV26" s="211">
        <f t="shared" si="29"/>
        <v>7.4999999999999997E-2</v>
      </c>
      <c r="AW26" s="211">
        <f t="shared" si="32"/>
        <v>7.4999999999999997E-2</v>
      </c>
      <c r="AX26" s="211">
        <f t="shared" si="30"/>
        <v>7.4999999999999997E-2</v>
      </c>
      <c r="AY26" s="211">
        <f t="shared" si="30"/>
        <v>7.4999999999999997E-2</v>
      </c>
      <c r="AZ26" s="211">
        <f t="shared" si="30"/>
        <v>7.4999999999999997E-2</v>
      </c>
      <c r="BA26" s="211">
        <f t="shared" si="30"/>
        <v>7.4999999999999997E-2</v>
      </c>
      <c r="BB26" s="211">
        <f t="shared" si="30"/>
        <v>7.4999999999999997E-2</v>
      </c>
      <c r="BC26" s="204" t="s">
        <v>395</v>
      </c>
      <c r="BD26" s="204" t="s">
        <v>395</v>
      </c>
      <c r="BE26" s="204" t="s">
        <v>395</v>
      </c>
      <c r="BF26" s="204" t="s">
        <v>395</v>
      </c>
      <c r="BG26" s="204" t="s">
        <v>395</v>
      </c>
      <c r="BH26" s="204" t="s">
        <v>395</v>
      </c>
      <c r="BI26" s="204" t="s">
        <v>395</v>
      </c>
      <c r="BJ26" s="219" t="s">
        <v>395</v>
      </c>
      <c r="BK26" s="223" t="s">
        <v>395</v>
      </c>
      <c r="BL26" s="246" t="s">
        <v>395</v>
      </c>
      <c r="BM26" s="156" t="s">
        <v>395</v>
      </c>
      <c r="BN26" s="156">
        <v>370</v>
      </c>
      <c r="BO26" s="5" t="s">
        <v>395</v>
      </c>
      <c r="BP26" s="5" t="s">
        <v>395</v>
      </c>
      <c r="BQ26" s="5" t="s">
        <v>395</v>
      </c>
      <c r="BR26" s="5" t="s">
        <v>395</v>
      </c>
      <c r="BS26" s="5" t="s">
        <v>395</v>
      </c>
      <c r="BT26" s="5" t="s">
        <v>395</v>
      </c>
      <c r="BU26" s="5" t="s">
        <v>395</v>
      </c>
      <c r="BV26" s="5" t="s">
        <v>395</v>
      </c>
      <c r="BW26" s="5" t="s">
        <v>395</v>
      </c>
      <c r="BX26" s="5" t="s">
        <v>395</v>
      </c>
      <c r="BY26" s="5" t="s">
        <v>395</v>
      </c>
      <c r="BZ26" s="5" t="s">
        <v>395</v>
      </c>
      <c r="CA26" s="5" t="s">
        <v>395</v>
      </c>
      <c r="CB26" s="5" t="s">
        <v>395</v>
      </c>
      <c r="CC26" s="5" t="s">
        <v>395</v>
      </c>
      <c r="CD26" s="5" t="s">
        <v>395</v>
      </c>
      <c r="CE26" s="5" t="s">
        <v>395</v>
      </c>
      <c r="CF26" s="5" t="s">
        <v>395</v>
      </c>
      <c r="CG26" s="5" t="s">
        <v>395</v>
      </c>
      <c r="CH26" s="5" t="s">
        <v>395</v>
      </c>
      <c r="CI26" s="220" t="s">
        <v>395</v>
      </c>
      <c r="CJ26" s="220" t="s">
        <v>395</v>
      </c>
      <c r="CK26" s="220" t="s">
        <v>395</v>
      </c>
      <c r="CL26" s="220" t="s">
        <v>395</v>
      </c>
      <c r="CM26" s="220" t="s">
        <v>395</v>
      </c>
      <c r="CN26" s="220" t="s">
        <v>395</v>
      </c>
      <c r="CO26" s="220" t="s">
        <v>395</v>
      </c>
      <c r="CP26" s="220" t="s">
        <v>395</v>
      </c>
      <c r="CQ26" s="57" t="s">
        <v>395</v>
      </c>
      <c r="CR26" s="57" t="s">
        <v>395</v>
      </c>
      <c r="CS26" s="57" t="s">
        <v>395</v>
      </c>
      <c r="CT26" s="57" t="s">
        <v>395</v>
      </c>
      <c r="CU26" s="57" t="s">
        <v>395</v>
      </c>
      <c r="CV26" s="57" t="s">
        <v>395</v>
      </c>
      <c r="CW26" s="57" t="s">
        <v>395</v>
      </c>
      <c r="CX26" s="57" t="s">
        <v>395</v>
      </c>
      <c r="CY26" s="59" t="s">
        <v>395</v>
      </c>
    </row>
    <row r="27" spans="1:103" x14ac:dyDescent="0.3">
      <c r="A27" s="153" t="s">
        <v>26</v>
      </c>
      <c r="B27" s="153" t="s">
        <v>26</v>
      </c>
      <c r="C27" s="205" t="s">
        <v>20</v>
      </c>
      <c r="D27" s="153"/>
      <c r="E27" s="154"/>
      <c r="F27" s="154"/>
      <c r="G27" s="245">
        <v>45177</v>
      </c>
      <c r="H27" s="1">
        <v>2023</v>
      </c>
      <c r="I27" s="216" t="s">
        <v>33</v>
      </c>
      <c r="J27" s="216">
        <v>10</v>
      </c>
      <c r="K27" s="155">
        <v>0.56687067322166473</v>
      </c>
      <c r="L27" s="155" t="s">
        <v>395</v>
      </c>
      <c r="M27" s="224">
        <v>2.3991955756661638E-2</v>
      </c>
      <c r="N27" s="224">
        <v>3.6596279537456006E-2</v>
      </c>
      <c r="O27" s="91">
        <v>0.17120663650075416</v>
      </c>
      <c r="P27" s="91">
        <v>0.19407742584213172</v>
      </c>
      <c r="Q27" s="55">
        <v>0.56000000000000005</v>
      </c>
      <c r="R27" s="55">
        <v>0.51</v>
      </c>
      <c r="S27" s="91">
        <v>0.17447963800904978</v>
      </c>
      <c r="T27" s="55">
        <v>1.7</v>
      </c>
      <c r="U27" s="5">
        <f t="shared" si="31"/>
        <v>13.021263751517543</v>
      </c>
      <c r="V27" s="217">
        <f>0.5*0.0251382604323781</f>
        <v>1.2569130216189051E-2</v>
      </c>
      <c r="W27" s="217">
        <f>0.5*0.0201106083459025</f>
        <v>1.005530417295125E-2</v>
      </c>
      <c r="X27" s="217">
        <f>0.5*0.0201106083459025</f>
        <v>1.005530417295125E-2</v>
      </c>
      <c r="Y27" s="217">
        <f>0.5*0.0301659125188537</f>
        <v>1.508295625942685E-2</v>
      </c>
      <c r="Z27" s="217">
        <v>1.4011993247602083E-2</v>
      </c>
      <c r="AA27" s="217">
        <f>0.5*0.0402212166918049</f>
        <v>2.0110608345902451E-2</v>
      </c>
      <c r="AB27" s="217">
        <f>0.5*0.0251382604323781</f>
        <v>1.2569130216189051E-2</v>
      </c>
      <c r="AC27" s="217">
        <f>0.5*0.0502765208647562</f>
        <v>2.5138260432378101E-2</v>
      </c>
      <c r="AD27" s="217">
        <v>1.4011993247602083E-2</v>
      </c>
      <c r="AE27" s="24">
        <f t="shared" si="24"/>
        <v>8.0442433383609901E-2</v>
      </c>
      <c r="AF27" s="246" t="s">
        <v>395</v>
      </c>
      <c r="AG27" s="246" t="s">
        <v>395</v>
      </c>
      <c r="AH27" s="211">
        <v>0.55671061162740421</v>
      </c>
      <c r="AI27" s="211">
        <f t="shared" si="25"/>
        <v>0.2</v>
      </c>
      <c r="AJ27" s="211">
        <f>0.5*0.21</f>
        <v>0.105</v>
      </c>
      <c r="AK27" s="211">
        <f t="shared" si="26"/>
        <v>0.115</v>
      </c>
      <c r="AL27" s="211">
        <f t="shared" si="27"/>
        <v>7.4999999999999997E-2</v>
      </c>
      <c r="AM27" s="211">
        <f t="shared" si="27"/>
        <v>7.4999999999999997E-2</v>
      </c>
      <c r="AN27" s="211">
        <v>6.6032706577335912E-2</v>
      </c>
      <c r="AO27" s="211">
        <f>0.5*0.15</f>
        <v>7.4999999999999997E-2</v>
      </c>
      <c r="AP27" s="211" t="s">
        <v>395</v>
      </c>
      <c r="AQ27" s="211">
        <f>0.5*0.18</f>
        <v>0.09</v>
      </c>
      <c r="AR27" s="211">
        <f t="shared" si="28"/>
        <v>7.4999999999999997E-2</v>
      </c>
      <c r="AS27" s="211">
        <f>0.5*0.37</f>
        <v>0.185</v>
      </c>
      <c r="AT27" s="211">
        <f>0.5*0.41</f>
        <v>0.20499999999999999</v>
      </c>
      <c r="AU27" s="211">
        <f t="shared" ref="AU27:AU37" si="33">0.5*0.76</f>
        <v>0.38</v>
      </c>
      <c r="AV27" s="211">
        <f t="shared" si="29"/>
        <v>7.4999999999999997E-2</v>
      </c>
      <c r="AW27" s="211">
        <f t="shared" si="32"/>
        <v>7.4999999999999997E-2</v>
      </c>
      <c r="AX27" s="211">
        <f t="shared" si="30"/>
        <v>7.4999999999999997E-2</v>
      </c>
      <c r="AY27" s="211">
        <f t="shared" si="30"/>
        <v>7.4999999999999997E-2</v>
      </c>
      <c r="AZ27" s="211">
        <f t="shared" si="30"/>
        <v>7.4999999999999997E-2</v>
      </c>
      <c r="BA27" s="211">
        <f t="shared" si="30"/>
        <v>7.4999999999999997E-2</v>
      </c>
      <c r="BB27" s="211">
        <f t="shared" si="30"/>
        <v>7.4999999999999997E-2</v>
      </c>
      <c r="BC27" s="204" t="s">
        <v>395</v>
      </c>
      <c r="BD27" s="204" t="s">
        <v>395</v>
      </c>
      <c r="BE27" s="204" t="s">
        <v>395</v>
      </c>
      <c r="BF27" s="204" t="s">
        <v>395</v>
      </c>
      <c r="BG27" s="204" t="s">
        <v>395</v>
      </c>
      <c r="BH27" s="204" t="s">
        <v>395</v>
      </c>
      <c r="BI27" s="204" t="s">
        <v>395</v>
      </c>
      <c r="BJ27" s="219" t="s">
        <v>395</v>
      </c>
      <c r="BK27" s="223" t="s">
        <v>395</v>
      </c>
      <c r="BL27" s="246" t="s">
        <v>395</v>
      </c>
      <c r="BM27" s="156" t="s">
        <v>395</v>
      </c>
      <c r="BN27" s="156">
        <v>41</v>
      </c>
      <c r="BO27" s="5" t="s">
        <v>395</v>
      </c>
      <c r="BP27" s="5" t="s">
        <v>395</v>
      </c>
      <c r="BQ27" s="5" t="s">
        <v>395</v>
      </c>
      <c r="BR27" s="5" t="s">
        <v>395</v>
      </c>
      <c r="BS27" s="5" t="s">
        <v>395</v>
      </c>
      <c r="BT27" s="5" t="s">
        <v>395</v>
      </c>
      <c r="BU27" s="5" t="s">
        <v>395</v>
      </c>
      <c r="BV27" s="5" t="s">
        <v>395</v>
      </c>
      <c r="BW27" s="5" t="s">
        <v>395</v>
      </c>
      <c r="BX27" s="5" t="s">
        <v>395</v>
      </c>
      <c r="BY27" s="5" t="s">
        <v>395</v>
      </c>
      <c r="BZ27" s="5" t="s">
        <v>395</v>
      </c>
      <c r="CA27" s="5" t="s">
        <v>395</v>
      </c>
      <c r="CB27" s="5" t="s">
        <v>395</v>
      </c>
      <c r="CC27" s="5" t="s">
        <v>395</v>
      </c>
      <c r="CD27" s="5" t="s">
        <v>395</v>
      </c>
      <c r="CE27" s="5" t="s">
        <v>395</v>
      </c>
      <c r="CF27" s="5" t="s">
        <v>395</v>
      </c>
      <c r="CG27" s="5" t="s">
        <v>395</v>
      </c>
      <c r="CH27" s="5" t="s">
        <v>395</v>
      </c>
      <c r="CI27" s="220" t="s">
        <v>395</v>
      </c>
      <c r="CJ27" s="220" t="s">
        <v>395</v>
      </c>
      <c r="CK27" s="220" t="s">
        <v>395</v>
      </c>
      <c r="CL27" s="220" t="s">
        <v>395</v>
      </c>
      <c r="CM27" s="220" t="s">
        <v>395</v>
      </c>
      <c r="CN27" s="220" t="s">
        <v>395</v>
      </c>
      <c r="CO27" s="220" t="s">
        <v>395</v>
      </c>
      <c r="CP27" s="220" t="s">
        <v>395</v>
      </c>
      <c r="CQ27" s="57" t="s">
        <v>395</v>
      </c>
      <c r="CR27" s="57" t="s">
        <v>395</v>
      </c>
      <c r="CS27" s="57" t="s">
        <v>395</v>
      </c>
      <c r="CT27" s="57" t="s">
        <v>395</v>
      </c>
      <c r="CU27" s="57" t="s">
        <v>395</v>
      </c>
      <c r="CV27" s="57" t="s">
        <v>395</v>
      </c>
      <c r="CW27" s="57" t="s">
        <v>395</v>
      </c>
      <c r="CX27" s="57" t="s">
        <v>395</v>
      </c>
      <c r="CY27" s="59" t="s">
        <v>395</v>
      </c>
    </row>
    <row r="28" spans="1:103" x14ac:dyDescent="0.3">
      <c r="A28" s="153" t="s">
        <v>79</v>
      </c>
      <c r="B28" s="153" t="s">
        <v>79</v>
      </c>
      <c r="C28" s="205" t="s">
        <v>20</v>
      </c>
      <c r="D28" s="153"/>
      <c r="E28" s="154"/>
      <c r="F28" s="154"/>
      <c r="G28" s="245">
        <v>45169</v>
      </c>
      <c r="H28" s="1">
        <v>2023</v>
      </c>
      <c r="I28" s="216" t="s">
        <v>33</v>
      </c>
      <c r="J28" s="216">
        <v>10</v>
      </c>
      <c r="K28" s="155">
        <v>0.67045916294195507</v>
      </c>
      <c r="L28" s="155" t="s">
        <v>395</v>
      </c>
      <c r="M28" s="91">
        <v>0.21301336454980005</v>
      </c>
      <c r="N28" s="91">
        <v>0.43243585991610578</v>
      </c>
      <c r="O28" s="56">
        <v>1.5412740220466299</v>
      </c>
      <c r="P28" s="56">
        <v>1.2459467369037167</v>
      </c>
      <c r="Q28" s="56">
        <v>2.7617647058823529</v>
      </c>
      <c r="R28" s="56">
        <v>2.6039020583357724</v>
      </c>
      <c r="S28" s="91">
        <v>0.70495073651351092</v>
      </c>
      <c r="T28" s="55">
        <v>9.5032874841478883</v>
      </c>
      <c r="U28" s="5">
        <f t="shared" si="31"/>
        <v>61.579744178684976</v>
      </c>
      <c r="V28" s="217">
        <f>0.5*0.0243878645985758</f>
        <v>1.2193932299287899E-2</v>
      </c>
      <c r="W28" s="217">
        <v>1.9419378560423195E-2</v>
      </c>
      <c r="X28" s="217">
        <v>1.9785511744822872E-2</v>
      </c>
      <c r="Y28" s="217">
        <v>1.1963900529724555E-2</v>
      </c>
      <c r="Z28" s="217">
        <v>2.2561808266358847E-2</v>
      </c>
      <c r="AA28" s="217">
        <f>0.5*0.0390205833577212</f>
        <v>1.9510291678860599E-2</v>
      </c>
      <c r="AB28" s="217">
        <f>0.5*0.0243878645985758</f>
        <v>1.2193932299287899E-2</v>
      </c>
      <c r="AC28" s="217">
        <f>0.5*0.0507305194805195</f>
        <v>2.536525974025975E-2</v>
      </c>
      <c r="AD28" s="217">
        <v>7.373059910132948E-2</v>
      </c>
      <c r="AE28" s="24">
        <f t="shared" si="24"/>
        <v>9.5066947112407013E-2</v>
      </c>
      <c r="AF28" s="246" t="s">
        <v>395</v>
      </c>
      <c r="AG28" s="246" t="s">
        <v>395</v>
      </c>
      <c r="AH28" s="218">
        <v>5.1885249330655947</v>
      </c>
      <c r="AI28" s="211">
        <f t="shared" si="25"/>
        <v>0.2</v>
      </c>
      <c r="AJ28" s="211">
        <v>8.1632083891120019E-2</v>
      </c>
      <c r="AK28" s="211">
        <f t="shared" si="26"/>
        <v>0.115</v>
      </c>
      <c r="AL28" s="211">
        <f t="shared" ref="AL28:AL47" si="34">0.5*0.15</f>
        <v>7.4999999999999997E-2</v>
      </c>
      <c r="AM28" s="211">
        <v>5.7730923694779099E-2</v>
      </c>
      <c r="AN28" s="211">
        <v>0.47986390004462282</v>
      </c>
      <c r="AO28" s="211">
        <f>0.5*0.15</f>
        <v>7.4999999999999997E-2</v>
      </c>
      <c r="AP28" s="211" t="s">
        <v>395</v>
      </c>
      <c r="AQ28" s="211">
        <v>0.43946619812583659</v>
      </c>
      <c r="AR28" s="211">
        <f t="shared" si="28"/>
        <v>7.4999999999999997E-2</v>
      </c>
      <c r="AS28" s="211">
        <v>0.6258087907184291</v>
      </c>
      <c r="AT28" s="211">
        <v>0.13289268183846495</v>
      </c>
      <c r="AU28" s="211">
        <f t="shared" si="33"/>
        <v>0.38</v>
      </c>
      <c r="AV28" s="211">
        <f t="shared" si="29"/>
        <v>7.4999999999999997E-2</v>
      </c>
      <c r="AW28" s="211">
        <f t="shared" si="32"/>
        <v>7.4999999999999997E-2</v>
      </c>
      <c r="AX28" s="211">
        <f t="shared" si="30"/>
        <v>7.4999999999999997E-2</v>
      </c>
      <c r="AY28" s="211">
        <f t="shared" si="30"/>
        <v>7.4999999999999997E-2</v>
      </c>
      <c r="AZ28" s="211">
        <f t="shared" si="30"/>
        <v>7.4999999999999997E-2</v>
      </c>
      <c r="BA28" s="211">
        <f t="shared" si="30"/>
        <v>7.4999999999999997E-2</v>
      </c>
      <c r="BB28" s="211">
        <f t="shared" si="30"/>
        <v>7.4999999999999997E-2</v>
      </c>
      <c r="BC28" s="204" t="s">
        <v>395</v>
      </c>
      <c r="BD28" s="204" t="s">
        <v>395</v>
      </c>
      <c r="BE28" s="204" t="s">
        <v>395</v>
      </c>
      <c r="BF28" s="204" t="s">
        <v>395</v>
      </c>
      <c r="BG28" s="204" t="s">
        <v>395</v>
      </c>
      <c r="BH28" s="204" t="s">
        <v>395</v>
      </c>
      <c r="BI28" s="204" t="s">
        <v>395</v>
      </c>
      <c r="BJ28" s="219" t="s">
        <v>395</v>
      </c>
      <c r="BK28" s="223" t="s">
        <v>395</v>
      </c>
      <c r="BL28" s="246" t="s">
        <v>395</v>
      </c>
      <c r="BM28" s="156" t="s">
        <v>395</v>
      </c>
      <c r="BN28" s="156">
        <v>110</v>
      </c>
      <c r="BO28" s="5" t="s">
        <v>395</v>
      </c>
      <c r="BP28" s="5" t="s">
        <v>395</v>
      </c>
      <c r="BQ28" s="5" t="s">
        <v>395</v>
      </c>
      <c r="BR28" s="5" t="s">
        <v>395</v>
      </c>
      <c r="BS28" s="5" t="s">
        <v>395</v>
      </c>
      <c r="BT28" s="5" t="s">
        <v>395</v>
      </c>
      <c r="BU28" s="5" t="s">
        <v>395</v>
      </c>
      <c r="BV28" s="5" t="s">
        <v>395</v>
      </c>
      <c r="BW28" s="5" t="s">
        <v>395</v>
      </c>
      <c r="BX28" s="5" t="s">
        <v>395</v>
      </c>
      <c r="BY28" s="5" t="s">
        <v>395</v>
      </c>
      <c r="BZ28" s="5" t="s">
        <v>395</v>
      </c>
      <c r="CA28" s="5" t="s">
        <v>395</v>
      </c>
      <c r="CB28" s="5" t="s">
        <v>395</v>
      </c>
      <c r="CC28" s="5" t="s">
        <v>395</v>
      </c>
      <c r="CD28" s="5" t="s">
        <v>395</v>
      </c>
      <c r="CE28" s="5" t="s">
        <v>395</v>
      </c>
      <c r="CF28" s="5" t="s">
        <v>395</v>
      </c>
      <c r="CG28" s="5" t="s">
        <v>395</v>
      </c>
      <c r="CH28" s="5" t="s">
        <v>395</v>
      </c>
      <c r="CI28" s="220" t="s">
        <v>395</v>
      </c>
      <c r="CJ28" s="220" t="s">
        <v>395</v>
      </c>
      <c r="CK28" s="220" t="s">
        <v>395</v>
      </c>
      <c r="CL28" s="220" t="s">
        <v>395</v>
      </c>
      <c r="CM28" s="220" t="s">
        <v>395</v>
      </c>
      <c r="CN28" s="220" t="s">
        <v>395</v>
      </c>
      <c r="CO28" s="220" t="s">
        <v>395</v>
      </c>
      <c r="CP28" s="220" t="s">
        <v>395</v>
      </c>
      <c r="CQ28" s="57" t="s">
        <v>395</v>
      </c>
      <c r="CR28" s="57" t="s">
        <v>395</v>
      </c>
      <c r="CS28" s="57" t="s">
        <v>395</v>
      </c>
      <c r="CT28" s="57" t="s">
        <v>395</v>
      </c>
      <c r="CU28" s="57" t="s">
        <v>395</v>
      </c>
      <c r="CV28" s="57" t="s">
        <v>395</v>
      </c>
      <c r="CW28" s="57" t="s">
        <v>395</v>
      </c>
      <c r="CX28" s="57" t="s">
        <v>395</v>
      </c>
      <c r="CY28" s="59" t="s">
        <v>395</v>
      </c>
    </row>
    <row r="29" spans="1:103" x14ac:dyDescent="0.3">
      <c r="A29" s="153" t="s">
        <v>25</v>
      </c>
      <c r="B29" s="153" t="s">
        <v>25</v>
      </c>
      <c r="C29" s="205" t="s">
        <v>20</v>
      </c>
      <c r="D29" s="153"/>
      <c r="E29" s="154"/>
      <c r="F29" s="154"/>
      <c r="G29" s="245">
        <v>45170</v>
      </c>
      <c r="H29" s="1">
        <v>2023</v>
      </c>
      <c r="I29" s="216" t="s">
        <v>33</v>
      </c>
      <c r="J29" s="216">
        <v>10</v>
      </c>
      <c r="K29" s="155">
        <v>0.58063870257286399</v>
      </c>
      <c r="L29" s="155" t="s">
        <v>395</v>
      </c>
      <c r="M29" s="224">
        <f>0.5*0.039</f>
        <v>1.95E-2</v>
      </c>
      <c r="N29" s="224">
        <v>6.0789240319243279E-2</v>
      </c>
      <c r="O29" s="91">
        <v>0.69921667159326051</v>
      </c>
      <c r="P29" s="91">
        <v>0.54887181003054497</v>
      </c>
      <c r="Q29" s="56">
        <v>2.5416198640260124</v>
      </c>
      <c r="R29" s="56">
        <v>2.1435412355897134</v>
      </c>
      <c r="S29" s="91">
        <v>0.73793477189870926</v>
      </c>
      <c r="T29" s="56">
        <v>6.731973593457484</v>
      </c>
      <c r="U29" s="5">
        <f t="shared" si="31"/>
        <v>53.411887254006963</v>
      </c>
      <c r="V29" s="81">
        <f>0.5*0.0246329687653956</f>
        <v>1.23164843826978E-2</v>
      </c>
      <c r="W29" s="81">
        <v>5.3543620087528804E-2</v>
      </c>
      <c r="X29" s="81">
        <v>3.4330691037025962E-2</v>
      </c>
      <c r="Y29" s="81">
        <v>4.7884913448240758E-2</v>
      </c>
      <c r="Z29" s="81">
        <v>1.7692556819453274E-2</v>
      </c>
      <c r="AA29" s="81">
        <v>7.726382386593276E-3</v>
      </c>
      <c r="AB29" s="81">
        <f>0.5*0.0246329687653956</f>
        <v>1.23164843826978E-2</v>
      </c>
      <c r="AC29" s="217">
        <f>0.5*0.0492659375307912</f>
        <v>2.4632968765395599E-2</v>
      </c>
      <c r="AD29" s="6">
        <v>0.16117816377884209</v>
      </c>
      <c r="AE29" s="24">
        <f t="shared" si="24"/>
        <v>0.16811857572478442</v>
      </c>
      <c r="AF29" s="246" t="s">
        <v>395</v>
      </c>
      <c r="AG29" s="246" t="s">
        <v>395</v>
      </c>
      <c r="AH29" s="222">
        <v>12.367993447268216</v>
      </c>
      <c r="AI29" s="211">
        <f t="shared" si="25"/>
        <v>0.2</v>
      </c>
      <c r="AJ29" s="211">
        <f t="shared" ref="AJ29:AJ34" si="35">0.5*0.21</f>
        <v>0.105</v>
      </c>
      <c r="AK29" s="211">
        <f t="shared" si="26"/>
        <v>0.115</v>
      </c>
      <c r="AL29" s="211">
        <f t="shared" si="34"/>
        <v>7.4999999999999997E-2</v>
      </c>
      <c r="AM29" s="211">
        <f>0.5*0.15</f>
        <v>7.4999999999999997E-2</v>
      </c>
      <c r="AN29" s="211">
        <v>0.93556480415596688</v>
      </c>
      <c r="AO29" s="211">
        <v>0.27468343221464619</v>
      </c>
      <c r="AP29" s="211" t="s">
        <v>395</v>
      </c>
      <c r="AQ29" s="211">
        <v>0.30191268927654291</v>
      </c>
      <c r="AR29" s="211">
        <f t="shared" si="28"/>
        <v>7.4999999999999997E-2</v>
      </c>
      <c r="AS29" s="211">
        <v>0.16206204433424831</v>
      </c>
      <c r="AT29" s="211">
        <f>0.5*0.41</f>
        <v>0.20499999999999999</v>
      </c>
      <c r="AU29" s="211">
        <f t="shared" si="33"/>
        <v>0.38</v>
      </c>
      <c r="AV29" s="211">
        <f t="shared" si="29"/>
        <v>7.4999999999999997E-2</v>
      </c>
      <c r="AW29" s="211">
        <f t="shared" si="32"/>
        <v>7.4999999999999997E-2</v>
      </c>
      <c r="AX29" s="211">
        <f t="shared" si="30"/>
        <v>7.4999999999999997E-2</v>
      </c>
      <c r="AY29" s="211">
        <f t="shared" si="30"/>
        <v>7.4999999999999997E-2</v>
      </c>
      <c r="AZ29" s="211">
        <f t="shared" si="30"/>
        <v>7.4999999999999997E-2</v>
      </c>
      <c r="BA29" s="211">
        <f t="shared" si="30"/>
        <v>7.4999999999999997E-2</v>
      </c>
      <c r="BB29" s="211">
        <f t="shared" si="30"/>
        <v>7.4999999999999997E-2</v>
      </c>
      <c r="BC29" s="204" t="s">
        <v>395</v>
      </c>
      <c r="BD29" s="204" t="s">
        <v>395</v>
      </c>
      <c r="BE29" s="204" t="s">
        <v>395</v>
      </c>
      <c r="BF29" s="204" t="s">
        <v>395</v>
      </c>
      <c r="BG29" s="204" t="s">
        <v>395</v>
      </c>
      <c r="BH29" s="204" t="s">
        <v>395</v>
      </c>
      <c r="BI29" s="204" t="s">
        <v>395</v>
      </c>
      <c r="BJ29" s="219" t="s">
        <v>395</v>
      </c>
      <c r="BK29" s="223" t="s">
        <v>395</v>
      </c>
      <c r="BL29" s="246" t="s">
        <v>395</v>
      </c>
      <c r="BM29" s="156" t="s">
        <v>395</v>
      </c>
      <c r="BN29" s="156">
        <v>86</v>
      </c>
      <c r="BO29" s="5" t="s">
        <v>395</v>
      </c>
      <c r="BP29" s="5" t="s">
        <v>395</v>
      </c>
      <c r="BQ29" s="5" t="s">
        <v>395</v>
      </c>
      <c r="BR29" s="5" t="s">
        <v>395</v>
      </c>
      <c r="BS29" s="5" t="s">
        <v>395</v>
      </c>
      <c r="BT29" s="5" t="s">
        <v>395</v>
      </c>
      <c r="BU29" s="5" t="s">
        <v>395</v>
      </c>
      <c r="BV29" s="5" t="s">
        <v>395</v>
      </c>
      <c r="BW29" s="5" t="s">
        <v>395</v>
      </c>
      <c r="BX29" s="5" t="s">
        <v>395</v>
      </c>
      <c r="BY29" s="5" t="s">
        <v>395</v>
      </c>
      <c r="BZ29" s="5" t="s">
        <v>395</v>
      </c>
      <c r="CA29" s="5" t="s">
        <v>395</v>
      </c>
      <c r="CB29" s="5" t="s">
        <v>395</v>
      </c>
      <c r="CC29" s="5" t="s">
        <v>395</v>
      </c>
      <c r="CD29" s="5" t="s">
        <v>395</v>
      </c>
      <c r="CE29" s="5" t="s">
        <v>395</v>
      </c>
      <c r="CF29" s="5" t="s">
        <v>395</v>
      </c>
      <c r="CG29" s="5" t="s">
        <v>395</v>
      </c>
      <c r="CH29" s="5" t="s">
        <v>395</v>
      </c>
      <c r="CI29" s="220" t="s">
        <v>395</v>
      </c>
      <c r="CJ29" s="220" t="s">
        <v>395</v>
      </c>
      <c r="CK29" s="220" t="s">
        <v>395</v>
      </c>
      <c r="CL29" s="220" t="s">
        <v>395</v>
      </c>
      <c r="CM29" s="220" t="s">
        <v>395</v>
      </c>
      <c r="CN29" s="220" t="s">
        <v>395</v>
      </c>
      <c r="CO29" s="220" t="s">
        <v>395</v>
      </c>
      <c r="CP29" s="220" t="s">
        <v>395</v>
      </c>
      <c r="CQ29" s="57" t="s">
        <v>395</v>
      </c>
      <c r="CR29" s="57" t="s">
        <v>395</v>
      </c>
      <c r="CS29" s="57" t="s">
        <v>395</v>
      </c>
      <c r="CT29" s="57" t="s">
        <v>395</v>
      </c>
      <c r="CU29" s="57" t="s">
        <v>395</v>
      </c>
      <c r="CV29" s="57" t="s">
        <v>395</v>
      </c>
      <c r="CW29" s="57" t="s">
        <v>395</v>
      </c>
      <c r="CX29" s="57" t="s">
        <v>395</v>
      </c>
      <c r="CY29" s="59" t="s">
        <v>395</v>
      </c>
    </row>
    <row r="30" spans="1:103" x14ac:dyDescent="0.3">
      <c r="A30" s="153" t="s">
        <v>6</v>
      </c>
      <c r="B30" s="153" t="s">
        <v>6</v>
      </c>
      <c r="C30" s="205" t="s">
        <v>20</v>
      </c>
      <c r="D30" s="153"/>
      <c r="E30" s="154"/>
      <c r="F30" s="154"/>
      <c r="G30" s="245">
        <v>45175</v>
      </c>
      <c r="H30" s="1">
        <v>2023</v>
      </c>
      <c r="I30" s="216" t="s">
        <v>33</v>
      </c>
      <c r="J30" s="216">
        <v>10</v>
      </c>
      <c r="K30" s="155">
        <v>0.48081738956230963</v>
      </c>
      <c r="L30" s="155" t="s">
        <v>395</v>
      </c>
      <c r="M30" s="224">
        <v>3.5046305617072684E-2</v>
      </c>
      <c r="N30" s="91">
        <v>0.38043587678679291</v>
      </c>
      <c r="O30" s="56">
        <v>2.3064274209784581</v>
      </c>
      <c r="P30" s="56">
        <v>1.8520636198912825</v>
      </c>
      <c r="Q30" s="56">
        <v>5.3342963559492658</v>
      </c>
      <c r="R30" s="56">
        <v>4.2933058184014499</v>
      </c>
      <c r="S30" s="56">
        <v>1.2768773907791424</v>
      </c>
      <c r="T30" s="55">
        <v>15.477300181195895</v>
      </c>
      <c r="U30" s="5">
        <f t="shared" si="31"/>
        <v>141.70025319712695</v>
      </c>
      <c r="V30" s="217">
        <f>0.5*0.025166096235152</f>
        <v>1.2583048117576E-2</v>
      </c>
      <c r="W30" s="217">
        <v>0.12606724087022481</v>
      </c>
      <c r="X30" s="217">
        <v>4.3198189251169403E-2</v>
      </c>
      <c r="Y30" s="217">
        <v>8.5261853004302848E-2</v>
      </c>
      <c r="Z30" s="217">
        <v>2.0523895227499023E-2</v>
      </c>
      <c r="AA30" s="217">
        <v>9.8970240420161535E-3</v>
      </c>
      <c r="AB30" s="217">
        <f>0.5*0.025166096235152</f>
        <v>1.2583048117576E-2</v>
      </c>
      <c r="AC30" s="81">
        <f>0.5*0.050332192470304</f>
        <v>2.5166096235152001E-2</v>
      </c>
      <c r="AD30" s="6">
        <v>0.28494820239521224</v>
      </c>
      <c r="AE30" s="24">
        <f t="shared" si="24"/>
        <v>0.28959040340286518</v>
      </c>
      <c r="AF30" s="246" t="s">
        <v>395</v>
      </c>
      <c r="AG30" s="246" t="s">
        <v>395</v>
      </c>
      <c r="AH30" s="218">
        <v>4.9399306794433961</v>
      </c>
      <c r="AI30" s="211">
        <f t="shared" si="25"/>
        <v>0.2</v>
      </c>
      <c r="AJ30" s="211">
        <f t="shared" si="35"/>
        <v>0.105</v>
      </c>
      <c r="AK30" s="211">
        <f t="shared" si="26"/>
        <v>0.115</v>
      </c>
      <c r="AL30" s="211">
        <f t="shared" si="34"/>
        <v>7.4999999999999997E-2</v>
      </c>
      <c r="AM30" s="211">
        <v>6.7638513685712817E-2</v>
      </c>
      <c r="AN30" s="211">
        <v>0.66765210595171354</v>
      </c>
      <c r="AO30" s="211">
        <v>9.2716244456904018E-2</v>
      </c>
      <c r="AP30" s="211" t="s">
        <v>395</v>
      </c>
      <c r="AQ30" s="211">
        <v>0.27957592130077985</v>
      </c>
      <c r="AR30" s="211">
        <f t="shared" si="28"/>
        <v>7.4999999999999997E-2</v>
      </c>
      <c r="AS30" s="211">
        <v>0.22627724824574819</v>
      </c>
      <c r="AT30" s="211">
        <f>0.5*0.41</f>
        <v>0.20499999999999999</v>
      </c>
      <c r="AU30" s="211">
        <f t="shared" si="33"/>
        <v>0.38</v>
      </c>
      <c r="AV30" s="211">
        <f t="shared" si="29"/>
        <v>7.4999999999999997E-2</v>
      </c>
      <c r="AW30" s="211">
        <f t="shared" si="32"/>
        <v>7.4999999999999997E-2</v>
      </c>
      <c r="AX30" s="211">
        <f t="shared" si="30"/>
        <v>7.4999999999999997E-2</v>
      </c>
      <c r="AY30" s="211">
        <f t="shared" si="30"/>
        <v>7.4999999999999997E-2</v>
      </c>
      <c r="AZ30" s="211">
        <f t="shared" si="30"/>
        <v>7.4999999999999997E-2</v>
      </c>
      <c r="BA30" s="211">
        <f t="shared" si="30"/>
        <v>7.4999999999999997E-2</v>
      </c>
      <c r="BB30" s="211">
        <f t="shared" si="30"/>
        <v>7.4999999999999997E-2</v>
      </c>
      <c r="BC30" s="204" t="s">
        <v>395</v>
      </c>
      <c r="BD30" s="204" t="s">
        <v>395</v>
      </c>
      <c r="BE30" s="204" t="s">
        <v>395</v>
      </c>
      <c r="BF30" s="204" t="s">
        <v>395</v>
      </c>
      <c r="BG30" s="204" t="s">
        <v>395</v>
      </c>
      <c r="BH30" s="204" t="s">
        <v>395</v>
      </c>
      <c r="BI30" s="204" t="s">
        <v>395</v>
      </c>
      <c r="BJ30" s="219" t="s">
        <v>395</v>
      </c>
      <c r="BK30" s="223" t="s">
        <v>395</v>
      </c>
      <c r="BL30" s="246" t="s">
        <v>395</v>
      </c>
      <c r="BM30" s="156" t="s">
        <v>395</v>
      </c>
      <c r="BN30" s="156">
        <v>54</v>
      </c>
      <c r="BO30" s="5" t="s">
        <v>395</v>
      </c>
      <c r="BP30" s="5" t="s">
        <v>395</v>
      </c>
      <c r="BQ30" s="5" t="s">
        <v>395</v>
      </c>
      <c r="BR30" s="5" t="s">
        <v>395</v>
      </c>
      <c r="BS30" s="5" t="s">
        <v>395</v>
      </c>
      <c r="BT30" s="5" t="s">
        <v>395</v>
      </c>
      <c r="BU30" s="5" t="s">
        <v>395</v>
      </c>
      <c r="BV30" s="5" t="s">
        <v>395</v>
      </c>
      <c r="BW30" s="5" t="s">
        <v>395</v>
      </c>
      <c r="BX30" s="5" t="s">
        <v>395</v>
      </c>
      <c r="BY30" s="5" t="s">
        <v>395</v>
      </c>
      <c r="BZ30" s="5" t="s">
        <v>395</v>
      </c>
      <c r="CA30" s="5" t="s">
        <v>395</v>
      </c>
      <c r="CB30" s="5" t="s">
        <v>395</v>
      </c>
      <c r="CC30" s="5" t="s">
        <v>395</v>
      </c>
      <c r="CD30" s="5" t="s">
        <v>395</v>
      </c>
      <c r="CE30" s="5" t="s">
        <v>395</v>
      </c>
      <c r="CF30" s="5" t="s">
        <v>395</v>
      </c>
      <c r="CG30" s="5" t="s">
        <v>395</v>
      </c>
      <c r="CH30" s="5" t="s">
        <v>395</v>
      </c>
      <c r="CI30" s="220" t="s">
        <v>395</v>
      </c>
      <c r="CJ30" s="220" t="s">
        <v>395</v>
      </c>
      <c r="CK30" s="220" t="s">
        <v>395</v>
      </c>
      <c r="CL30" s="220" t="s">
        <v>395</v>
      </c>
      <c r="CM30" s="220" t="s">
        <v>395</v>
      </c>
      <c r="CN30" s="220" t="s">
        <v>395</v>
      </c>
      <c r="CO30" s="220" t="s">
        <v>395</v>
      </c>
      <c r="CP30" s="220" t="s">
        <v>395</v>
      </c>
      <c r="CQ30" s="57" t="s">
        <v>395</v>
      </c>
      <c r="CR30" s="57" t="s">
        <v>395</v>
      </c>
      <c r="CS30" s="57" t="s">
        <v>395</v>
      </c>
      <c r="CT30" s="57" t="s">
        <v>395</v>
      </c>
      <c r="CU30" s="57" t="s">
        <v>395</v>
      </c>
      <c r="CV30" s="57" t="s">
        <v>395</v>
      </c>
      <c r="CW30" s="57" t="s">
        <v>395</v>
      </c>
      <c r="CX30" s="57" t="s">
        <v>395</v>
      </c>
      <c r="CY30" s="59" t="s">
        <v>395</v>
      </c>
    </row>
    <row r="31" spans="1:103" x14ac:dyDescent="0.3">
      <c r="A31" s="153" t="s">
        <v>112</v>
      </c>
      <c r="B31" s="153" t="s">
        <v>199</v>
      </c>
      <c r="C31" s="205" t="s">
        <v>20</v>
      </c>
      <c r="D31" s="153"/>
      <c r="E31" s="154"/>
      <c r="F31" s="154"/>
      <c r="G31" s="245">
        <v>45170</v>
      </c>
      <c r="H31" s="1">
        <v>2023</v>
      </c>
      <c r="I31" s="216" t="s">
        <v>33</v>
      </c>
      <c r="J31" s="216">
        <v>10</v>
      </c>
      <c r="K31" s="155">
        <v>0.56471764117944345</v>
      </c>
      <c r="L31" s="155" t="s">
        <v>395</v>
      </c>
      <c r="M31" s="91">
        <v>0.44432182985553775</v>
      </c>
      <c r="N31" s="56">
        <v>1.2042987560192617</v>
      </c>
      <c r="O31" s="56">
        <v>5.4840339085072225</v>
      </c>
      <c r="P31" s="56">
        <v>4.5118479133226321</v>
      </c>
      <c r="Q31" s="55">
        <v>11.613563402889245</v>
      </c>
      <c r="R31" s="55">
        <v>10.423725922953452</v>
      </c>
      <c r="S31" s="56">
        <v>3.0970204654895666</v>
      </c>
      <c r="T31" s="55">
        <v>36.778812199036913</v>
      </c>
      <c r="U31" s="5">
        <f t="shared" si="31"/>
        <v>285.69113068898446</v>
      </c>
      <c r="V31" s="217">
        <f>0.5*0.0250802568218299</f>
        <v>1.2540128410914951E-2</v>
      </c>
      <c r="W31" s="217">
        <v>9.5966778310588155E-2</v>
      </c>
      <c r="X31" s="217">
        <v>4.469765995413684E-2</v>
      </c>
      <c r="Y31" s="217">
        <v>5.2282195514730533E-2</v>
      </c>
      <c r="Z31" s="217">
        <v>1.7389299563974406E-2</v>
      </c>
      <c r="AA31" s="217">
        <v>8.5136817328390797E-3</v>
      </c>
      <c r="AB31" s="217">
        <f>0.5*0.0250802568218299</f>
        <v>1.2540128410914951E-2</v>
      </c>
      <c r="AC31" s="217">
        <f>0.5*0.0501605136436597</f>
        <v>2.5080256821829849E-2</v>
      </c>
      <c r="AD31" s="6">
        <v>0.21884961507626902</v>
      </c>
      <c r="AE31" s="24">
        <f t="shared" si="24"/>
        <v>0.22654057233412453</v>
      </c>
      <c r="AF31" s="246" t="s">
        <v>395</v>
      </c>
      <c r="AG31" s="246" t="s">
        <v>395</v>
      </c>
      <c r="AH31" s="218">
        <v>3.4018073966648927</v>
      </c>
      <c r="AI31" s="211">
        <f t="shared" si="25"/>
        <v>0.2</v>
      </c>
      <c r="AJ31" s="211">
        <f t="shared" si="35"/>
        <v>0.105</v>
      </c>
      <c r="AK31" s="211">
        <f t="shared" si="26"/>
        <v>0.115</v>
      </c>
      <c r="AL31" s="211">
        <f t="shared" si="34"/>
        <v>7.4999999999999997E-2</v>
      </c>
      <c r="AM31" s="211">
        <v>6.5113156885308804E-2</v>
      </c>
      <c r="AN31" s="211">
        <v>0.13369411946446694</v>
      </c>
      <c r="AO31" s="211">
        <f>0.5*0.15</f>
        <v>7.4999999999999997E-2</v>
      </c>
      <c r="AP31" s="211" t="s">
        <v>395</v>
      </c>
      <c r="AQ31" s="211">
        <v>0.30418616150648736</v>
      </c>
      <c r="AR31" s="211">
        <f t="shared" si="28"/>
        <v>7.4999999999999997E-2</v>
      </c>
      <c r="AS31" s="211">
        <v>0.60276413774135995</v>
      </c>
      <c r="AT31" s="211">
        <v>0.34287851233353711</v>
      </c>
      <c r="AU31" s="211">
        <f t="shared" si="33"/>
        <v>0.38</v>
      </c>
      <c r="AV31" s="211">
        <f t="shared" si="29"/>
        <v>7.4999999999999997E-2</v>
      </c>
      <c r="AW31" s="211">
        <f t="shared" si="32"/>
        <v>7.4999999999999997E-2</v>
      </c>
      <c r="AX31" s="211">
        <f t="shared" si="30"/>
        <v>7.4999999999999997E-2</v>
      </c>
      <c r="AY31" s="211">
        <f t="shared" si="30"/>
        <v>7.4999999999999997E-2</v>
      </c>
      <c r="AZ31" s="211">
        <f t="shared" si="30"/>
        <v>7.4999999999999997E-2</v>
      </c>
      <c r="BA31" s="211">
        <f t="shared" si="30"/>
        <v>7.4999999999999997E-2</v>
      </c>
      <c r="BB31" s="211">
        <f t="shared" si="30"/>
        <v>7.4999999999999997E-2</v>
      </c>
      <c r="BC31" s="204" t="s">
        <v>395</v>
      </c>
      <c r="BD31" s="204" t="s">
        <v>395</v>
      </c>
      <c r="BE31" s="204" t="s">
        <v>395</v>
      </c>
      <c r="BF31" s="204" t="s">
        <v>395</v>
      </c>
      <c r="BG31" s="204" t="s">
        <v>395</v>
      </c>
      <c r="BH31" s="204" t="s">
        <v>395</v>
      </c>
      <c r="BI31" s="204" t="s">
        <v>395</v>
      </c>
      <c r="BJ31" s="219" t="s">
        <v>395</v>
      </c>
      <c r="BK31" s="223" t="s">
        <v>395</v>
      </c>
      <c r="BL31" s="246" t="s">
        <v>395</v>
      </c>
      <c r="BM31" s="156" t="s">
        <v>395</v>
      </c>
      <c r="BN31" s="156">
        <v>240</v>
      </c>
      <c r="BO31" s="5" t="s">
        <v>395</v>
      </c>
      <c r="BP31" s="5" t="s">
        <v>395</v>
      </c>
      <c r="BQ31" s="5" t="s">
        <v>395</v>
      </c>
      <c r="BR31" s="5" t="s">
        <v>395</v>
      </c>
      <c r="BS31" s="5" t="s">
        <v>395</v>
      </c>
      <c r="BT31" s="5" t="s">
        <v>395</v>
      </c>
      <c r="BU31" s="5" t="s">
        <v>395</v>
      </c>
      <c r="BV31" s="5" t="s">
        <v>395</v>
      </c>
      <c r="BW31" s="5" t="s">
        <v>395</v>
      </c>
      <c r="BX31" s="5" t="s">
        <v>395</v>
      </c>
      <c r="BY31" s="5" t="s">
        <v>395</v>
      </c>
      <c r="BZ31" s="5" t="s">
        <v>395</v>
      </c>
      <c r="CA31" s="5" t="s">
        <v>395</v>
      </c>
      <c r="CB31" s="5" t="s">
        <v>395</v>
      </c>
      <c r="CC31" s="5" t="s">
        <v>395</v>
      </c>
      <c r="CD31" s="5" t="s">
        <v>395</v>
      </c>
      <c r="CE31" s="5" t="s">
        <v>395</v>
      </c>
      <c r="CF31" s="5" t="s">
        <v>395</v>
      </c>
      <c r="CG31" s="5" t="s">
        <v>395</v>
      </c>
      <c r="CH31" s="5" t="s">
        <v>395</v>
      </c>
      <c r="CI31" s="220" t="s">
        <v>395</v>
      </c>
      <c r="CJ31" s="220" t="s">
        <v>395</v>
      </c>
      <c r="CK31" s="220" t="s">
        <v>395</v>
      </c>
      <c r="CL31" s="220" t="s">
        <v>395</v>
      </c>
      <c r="CM31" s="220" t="s">
        <v>395</v>
      </c>
      <c r="CN31" s="220" t="s">
        <v>395</v>
      </c>
      <c r="CO31" s="220" t="s">
        <v>395</v>
      </c>
      <c r="CP31" s="220" t="s">
        <v>395</v>
      </c>
      <c r="CQ31" s="57" t="s">
        <v>395</v>
      </c>
      <c r="CR31" s="57" t="s">
        <v>395</v>
      </c>
      <c r="CS31" s="57" t="s">
        <v>395</v>
      </c>
      <c r="CT31" s="57" t="s">
        <v>395</v>
      </c>
      <c r="CU31" s="57" t="s">
        <v>395</v>
      </c>
      <c r="CV31" s="57" t="s">
        <v>395</v>
      </c>
      <c r="CW31" s="57" t="s">
        <v>395</v>
      </c>
      <c r="CX31" s="57" t="s">
        <v>395</v>
      </c>
      <c r="CY31" s="59" t="s">
        <v>395</v>
      </c>
    </row>
    <row r="32" spans="1:103" s="152" customFormat="1" x14ac:dyDescent="0.3">
      <c r="A32" s="153" t="s">
        <v>25</v>
      </c>
      <c r="B32" s="153" t="s">
        <v>200</v>
      </c>
      <c r="C32" s="205" t="s">
        <v>20</v>
      </c>
      <c r="D32" s="153" t="s">
        <v>382</v>
      </c>
      <c r="E32" s="154"/>
      <c r="F32" s="154"/>
      <c r="G32" s="221"/>
      <c r="H32" s="1">
        <v>2021</v>
      </c>
      <c r="I32" s="216" t="s">
        <v>33</v>
      </c>
      <c r="J32" s="216">
        <v>10</v>
      </c>
      <c r="K32" s="155">
        <v>0.56402137344157643</v>
      </c>
      <c r="L32" s="155" t="s">
        <v>395</v>
      </c>
      <c r="M32" s="224">
        <v>1.522167487684729E-2</v>
      </c>
      <c r="N32" s="224">
        <v>5.7571428571428572E-2</v>
      </c>
      <c r="O32" s="91">
        <v>0.64161083743842362</v>
      </c>
      <c r="P32" s="91">
        <v>0.53382266009852219</v>
      </c>
      <c r="Q32" s="56">
        <v>2.5490443349753695</v>
      </c>
      <c r="R32" s="56">
        <v>2.1790344827586208</v>
      </c>
      <c r="S32" s="91">
        <v>0.7492512315270935</v>
      </c>
      <c r="T32" s="56">
        <v>6.7255566502463058</v>
      </c>
      <c r="U32" s="5">
        <f t="shared" si="31"/>
        <v>54.889178688094056</v>
      </c>
      <c r="V32" s="217">
        <f>0.5*0.0246305418719212</f>
        <v>1.23152709359606E-2</v>
      </c>
      <c r="W32" s="217">
        <v>5.6462309847059529E-2</v>
      </c>
      <c r="X32" s="217">
        <v>3.7733985775730408E-2</v>
      </c>
      <c r="Y32" s="217">
        <v>5.2100561497443978E-2</v>
      </c>
      <c r="Z32" s="217">
        <v>2.1777794955048644E-2</v>
      </c>
      <c r="AA32" s="217">
        <v>8.4081721315387731E-3</v>
      </c>
      <c r="AB32" s="217">
        <v>7.6434139470555936E-3</v>
      </c>
      <c r="AC32" s="217">
        <f>0.5*0.0492610837438424</f>
        <v>2.4630541871921201E-2</v>
      </c>
      <c r="AD32" s="6">
        <v>0.18412623815387694</v>
      </c>
      <c r="AE32" s="24">
        <f t="shared" si="24"/>
        <v>0.17466371413478887</v>
      </c>
      <c r="AF32" s="246" t="s">
        <v>395</v>
      </c>
      <c r="AG32" s="248" t="s">
        <v>395</v>
      </c>
      <c r="AH32" s="222">
        <v>24.76489720336167</v>
      </c>
      <c r="AI32" s="211">
        <f t="shared" si="25"/>
        <v>0.2</v>
      </c>
      <c r="AJ32" s="211">
        <f t="shared" si="35"/>
        <v>0.105</v>
      </c>
      <c r="AK32" s="211">
        <f t="shared" si="26"/>
        <v>0.115</v>
      </c>
      <c r="AL32" s="211">
        <f t="shared" si="34"/>
        <v>7.4999999999999997E-2</v>
      </c>
      <c r="AM32" s="211">
        <v>0.14590950097336311</v>
      </c>
      <c r="AN32" s="218">
        <v>1.2500672649288578</v>
      </c>
      <c r="AO32" s="211">
        <v>0.28968235126537206</v>
      </c>
      <c r="AP32" s="211" t="s">
        <v>395</v>
      </c>
      <c r="AQ32" s="211">
        <v>0.53829352832249189</v>
      </c>
      <c r="AR32" s="211">
        <f t="shared" si="28"/>
        <v>7.4999999999999997E-2</v>
      </c>
      <c r="AS32" s="211">
        <v>0.38504027982210415</v>
      </c>
      <c r="AT32" s="211">
        <v>0.2182549103398066</v>
      </c>
      <c r="AU32" s="211">
        <f t="shared" si="33"/>
        <v>0.38</v>
      </c>
      <c r="AV32" s="211">
        <f t="shared" si="29"/>
        <v>7.4999999999999997E-2</v>
      </c>
      <c r="AW32" s="211">
        <f t="shared" si="32"/>
        <v>7.4999999999999997E-2</v>
      </c>
      <c r="AX32" s="211">
        <v>7.969707041451024E-2</v>
      </c>
      <c r="AY32" s="211">
        <f t="shared" ref="AY32:BB47" si="36">0.5*0.15</f>
        <v>7.4999999999999997E-2</v>
      </c>
      <c r="AZ32" s="211">
        <f t="shared" si="36"/>
        <v>7.4999999999999997E-2</v>
      </c>
      <c r="BA32" s="211">
        <f t="shared" si="36"/>
        <v>7.4999999999999997E-2</v>
      </c>
      <c r="BB32" s="211">
        <f t="shared" si="36"/>
        <v>7.4999999999999997E-2</v>
      </c>
      <c r="BC32" s="204" t="s">
        <v>395</v>
      </c>
      <c r="BD32" s="204" t="s">
        <v>395</v>
      </c>
      <c r="BE32" s="204" t="s">
        <v>395</v>
      </c>
      <c r="BF32" s="204" t="s">
        <v>395</v>
      </c>
      <c r="BG32" s="204" t="s">
        <v>395</v>
      </c>
      <c r="BH32" s="204" t="s">
        <v>395</v>
      </c>
      <c r="BI32" s="204" t="s">
        <v>395</v>
      </c>
      <c r="BJ32" s="219" t="s">
        <v>395</v>
      </c>
      <c r="BK32" s="225" t="s">
        <v>395</v>
      </c>
      <c r="BL32" s="246" t="s">
        <v>395</v>
      </c>
      <c r="BM32" s="156" t="s">
        <v>395</v>
      </c>
      <c r="BN32" s="156">
        <v>120</v>
      </c>
      <c r="BO32" s="5" t="s">
        <v>395</v>
      </c>
      <c r="BP32" s="5" t="s">
        <v>395</v>
      </c>
      <c r="BQ32" s="5" t="s">
        <v>395</v>
      </c>
      <c r="BR32" s="5" t="s">
        <v>395</v>
      </c>
      <c r="BS32" s="5" t="s">
        <v>395</v>
      </c>
      <c r="BT32" s="5" t="s">
        <v>395</v>
      </c>
      <c r="BU32" s="5" t="s">
        <v>395</v>
      </c>
      <c r="BV32" s="5" t="s">
        <v>395</v>
      </c>
      <c r="BW32" s="5" t="s">
        <v>395</v>
      </c>
      <c r="BX32" s="5" t="s">
        <v>395</v>
      </c>
      <c r="BY32" s="5" t="s">
        <v>395</v>
      </c>
      <c r="BZ32" s="5" t="s">
        <v>395</v>
      </c>
      <c r="CA32" s="5" t="s">
        <v>395</v>
      </c>
      <c r="CB32" s="5" t="s">
        <v>395</v>
      </c>
      <c r="CC32" s="5" t="s">
        <v>395</v>
      </c>
      <c r="CD32" s="5" t="s">
        <v>395</v>
      </c>
      <c r="CE32" s="5" t="s">
        <v>395</v>
      </c>
      <c r="CF32" s="5" t="s">
        <v>395</v>
      </c>
      <c r="CG32" s="5" t="s">
        <v>395</v>
      </c>
      <c r="CH32" s="5" t="s">
        <v>395</v>
      </c>
      <c r="CI32" s="220" t="s">
        <v>395</v>
      </c>
      <c r="CJ32" s="220" t="s">
        <v>395</v>
      </c>
      <c r="CK32" s="220" t="s">
        <v>395</v>
      </c>
      <c r="CL32" s="220" t="s">
        <v>395</v>
      </c>
      <c r="CM32" s="220" t="s">
        <v>395</v>
      </c>
      <c r="CN32" s="220" t="s">
        <v>395</v>
      </c>
      <c r="CO32" s="220" t="s">
        <v>395</v>
      </c>
      <c r="CP32" s="220" t="s">
        <v>395</v>
      </c>
      <c r="CQ32" s="57" t="s">
        <v>395</v>
      </c>
      <c r="CR32" s="57" t="s">
        <v>395</v>
      </c>
      <c r="CS32" s="57" t="s">
        <v>395</v>
      </c>
      <c r="CT32" s="57" t="s">
        <v>395</v>
      </c>
      <c r="CU32" s="57" t="s">
        <v>395</v>
      </c>
      <c r="CV32" s="57" t="s">
        <v>395</v>
      </c>
      <c r="CW32" s="57" t="s">
        <v>395</v>
      </c>
      <c r="CX32" s="57" t="s">
        <v>395</v>
      </c>
      <c r="CY32" s="59" t="s">
        <v>395</v>
      </c>
    </row>
    <row r="33" spans="1:112" s="152" customFormat="1" x14ac:dyDescent="0.3">
      <c r="A33" s="153" t="s">
        <v>25</v>
      </c>
      <c r="B33" s="153" t="s">
        <v>201</v>
      </c>
      <c r="C33" s="205" t="s">
        <v>20</v>
      </c>
      <c r="D33" s="153" t="s">
        <v>383</v>
      </c>
      <c r="E33" s="154"/>
      <c r="F33" s="154"/>
      <c r="G33" s="221"/>
      <c r="H33" s="1">
        <v>2020</v>
      </c>
      <c r="I33" s="216" t="s">
        <v>33</v>
      </c>
      <c r="J33" s="216">
        <v>10</v>
      </c>
      <c r="K33" s="155">
        <v>0.66626287098730563</v>
      </c>
      <c r="L33" s="155" t="s">
        <v>395</v>
      </c>
      <c r="M33" s="224">
        <v>2.7262835097437928E-2</v>
      </c>
      <c r="N33" s="224">
        <v>5.9644870907112471E-2</v>
      </c>
      <c r="O33" s="91">
        <v>0.66828073993471171</v>
      </c>
      <c r="P33" s="91">
        <v>0.59709170046493221</v>
      </c>
      <c r="Q33" s="56">
        <v>2.8534375309130477</v>
      </c>
      <c r="R33" s="56">
        <v>2.4126026313186268</v>
      </c>
      <c r="S33" s="91">
        <v>0.98198634879810065</v>
      </c>
      <c r="T33" s="56">
        <v>7.6003066574339702</v>
      </c>
      <c r="U33" s="5">
        <f t="shared" si="31"/>
        <v>52.555944972524742</v>
      </c>
      <c r="V33" s="217">
        <f>0.5*0.0247304382233653</f>
        <v>1.2365219111682649E-2</v>
      </c>
      <c r="W33" s="217">
        <v>8.3172326779904299E-2</v>
      </c>
      <c r="X33" s="217">
        <v>4.2777718250608179E-2</v>
      </c>
      <c r="Y33" s="217">
        <v>4.4173612214956463E-2</v>
      </c>
      <c r="Z33" s="217">
        <f>0.5*0.0247304382233653</f>
        <v>1.2365219111682649E-2</v>
      </c>
      <c r="AA33" s="217">
        <v>1.4470331642116025E-2</v>
      </c>
      <c r="AB33" s="217">
        <v>8.9426372098588003E-3</v>
      </c>
      <c r="AC33" s="217">
        <f>0.5*0.0494608764467306</f>
        <v>2.4730438223365299E-2</v>
      </c>
      <c r="AD33" s="6">
        <v>0.19353662609744379</v>
      </c>
      <c r="AE33" s="24">
        <f t="shared" si="24"/>
        <v>0.20590184520912644</v>
      </c>
      <c r="AF33" s="246" t="s">
        <v>395</v>
      </c>
      <c r="AG33" s="64" t="s">
        <v>395</v>
      </c>
      <c r="AH33" s="222">
        <v>28.013422651658537</v>
      </c>
      <c r="AI33" s="211">
        <f t="shared" si="25"/>
        <v>0.2</v>
      </c>
      <c r="AJ33" s="211">
        <f t="shared" si="35"/>
        <v>0.105</v>
      </c>
      <c r="AK33" s="211">
        <f t="shared" si="26"/>
        <v>0.115</v>
      </c>
      <c r="AL33" s="211">
        <f t="shared" si="34"/>
        <v>7.4999999999999997E-2</v>
      </c>
      <c r="AM33" s="211">
        <f t="shared" ref="AM33:AM38" si="37">0.5*0.15</f>
        <v>7.4999999999999997E-2</v>
      </c>
      <c r="AN33" s="218">
        <v>1.8722316299764259</v>
      </c>
      <c r="AO33" s="211">
        <v>0.43769299731048922</v>
      </c>
      <c r="AP33" s="211" t="s">
        <v>395</v>
      </c>
      <c r="AQ33" s="211">
        <v>0.50199223030182305</v>
      </c>
      <c r="AR33" s="211">
        <f t="shared" si="28"/>
        <v>7.4999999999999997E-2</v>
      </c>
      <c r="AS33" s="211">
        <v>0.39318325198392939</v>
      </c>
      <c r="AT33" s="211">
        <v>0.17016967161403862</v>
      </c>
      <c r="AU33" s="211">
        <f t="shared" si="33"/>
        <v>0.38</v>
      </c>
      <c r="AV33" s="211">
        <f t="shared" si="29"/>
        <v>7.4999999999999997E-2</v>
      </c>
      <c r="AW33" s="211">
        <f t="shared" si="32"/>
        <v>7.4999999999999997E-2</v>
      </c>
      <c r="AX33" s="211">
        <v>7.3488395258491906E-2</v>
      </c>
      <c r="AY33" s="211">
        <f t="shared" si="36"/>
        <v>7.4999999999999997E-2</v>
      </c>
      <c r="AZ33" s="211">
        <f t="shared" si="36"/>
        <v>7.4999999999999997E-2</v>
      </c>
      <c r="BA33" s="211">
        <f t="shared" si="36"/>
        <v>7.4999999999999997E-2</v>
      </c>
      <c r="BB33" s="211">
        <f t="shared" si="36"/>
        <v>7.4999999999999997E-2</v>
      </c>
      <c r="BC33" s="204" t="s">
        <v>395</v>
      </c>
      <c r="BD33" s="204" t="s">
        <v>395</v>
      </c>
      <c r="BE33" s="204" t="s">
        <v>395</v>
      </c>
      <c r="BF33" s="204" t="s">
        <v>395</v>
      </c>
      <c r="BG33" s="204" t="s">
        <v>395</v>
      </c>
      <c r="BH33" s="204" t="s">
        <v>395</v>
      </c>
      <c r="BI33" s="204" t="s">
        <v>395</v>
      </c>
      <c r="BJ33" s="219" t="s">
        <v>395</v>
      </c>
      <c r="BK33" s="225" t="s">
        <v>395</v>
      </c>
      <c r="BL33" s="246" t="s">
        <v>395</v>
      </c>
      <c r="BM33" s="156" t="s">
        <v>395</v>
      </c>
      <c r="BN33" s="156">
        <v>90</v>
      </c>
      <c r="BO33" s="5" t="s">
        <v>395</v>
      </c>
      <c r="BP33" s="5" t="s">
        <v>395</v>
      </c>
      <c r="BQ33" s="5" t="s">
        <v>395</v>
      </c>
      <c r="BR33" s="5" t="s">
        <v>395</v>
      </c>
      <c r="BS33" s="5" t="s">
        <v>395</v>
      </c>
      <c r="BT33" s="5" t="s">
        <v>395</v>
      </c>
      <c r="BU33" s="5" t="s">
        <v>395</v>
      </c>
      <c r="BV33" s="5" t="s">
        <v>395</v>
      </c>
      <c r="BW33" s="5" t="s">
        <v>395</v>
      </c>
      <c r="BX33" s="5" t="s">
        <v>395</v>
      </c>
      <c r="BY33" s="5" t="s">
        <v>395</v>
      </c>
      <c r="BZ33" s="5" t="s">
        <v>395</v>
      </c>
      <c r="CA33" s="5" t="s">
        <v>395</v>
      </c>
      <c r="CB33" s="5" t="s">
        <v>395</v>
      </c>
      <c r="CC33" s="5" t="s">
        <v>395</v>
      </c>
      <c r="CD33" s="5" t="s">
        <v>395</v>
      </c>
      <c r="CE33" s="5" t="s">
        <v>395</v>
      </c>
      <c r="CF33" s="5" t="s">
        <v>395</v>
      </c>
      <c r="CG33" s="5" t="s">
        <v>395</v>
      </c>
      <c r="CH33" s="5" t="s">
        <v>395</v>
      </c>
      <c r="CI33" s="220" t="s">
        <v>395</v>
      </c>
      <c r="CJ33" s="220" t="s">
        <v>395</v>
      </c>
      <c r="CK33" s="220" t="s">
        <v>395</v>
      </c>
      <c r="CL33" s="220" t="s">
        <v>395</v>
      </c>
      <c r="CM33" s="220" t="s">
        <v>395</v>
      </c>
      <c r="CN33" s="220" t="s">
        <v>395</v>
      </c>
      <c r="CO33" s="220" t="s">
        <v>395</v>
      </c>
      <c r="CP33" s="220" t="s">
        <v>395</v>
      </c>
      <c r="CQ33" s="57" t="s">
        <v>395</v>
      </c>
      <c r="CR33" s="57" t="s">
        <v>395</v>
      </c>
      <c r="CS33" s="57" t="s">
        <v>395</v>
      </c>
      <c r="CT33" s="57" t="s">
        <v>395</v>
      </c>
      <c r="CU33" s="57" t="s">
        <v>395</v>
      </c>
      <c r="CV33" s="57" t="s">
        <v>395</v>
      </c>
      <c r="CW33" s="57" t="s">
        <v>395</v>
      </c>
      <c r="CX33" s="57" t="s">
        <v>395</v>
      </c>
      <c r="CY33" s="59" t="s">
        <v>395</v>
      </c>
    </row>
    <row r="34" spans="1:112" s="152" customFormat="1" x14ac:dyDescent="0.3">
      <c r="A34" s="153" t="s">
        <v>112</v>
      </c>
      <c r="B34" s="153" t="s">
        <v>202</v>
      </c>
      <c r="C34" s="205" t="s">
        <v>20</v>
      </c>
      <c r="D34" s="153" t="s">
        <v>384</v>
      </c>
      <c r="E34" s="154"/>
      <c r="F34" s="154"/>
      <c r="G34" s="221"/>
      <c r="H34" s="1">
        <v>2020</v>
      </c>
      <c r="I34" s="216" t="s">
        <v>33</v>
      </c>
      <c r="J34" s="216">
        <v>10</v>
      </c>
      <c r="K34" s="155">
        <v>0.48802129547473011</v>
      </c>
      <c r="L34" s="155" t="s">
        <v>395</v>
      </c>
      <c r="M34" s="91">
        <v>0.42442576483237221</v>
      </c>
      <c r="N34" s="56">
        <v>1.181971459290392</v>
      </c>
      <c r="O34" s="56">
        <v>4.3999462418140949</v>
      </c>
      <c r="P34" s="56">
        <v>3.5200469162349717</v>
      </c>
      <c r="Q34" s="55">
        <v>10.142293030984263</v>
      </c>
      <c r="R34" s="56">
        <v>9.274254716059037</v>
      </c>
      <c r="S34" s="56">
        <v>3.0173883295865505</v>
      </c>
      <c r="T34" s="55">
        <v>31.960326458801681</v>
      </c>
      <c r="U34" s="5">
        <f t="shared" si="31"/>
        <v>291.38359131337694</v>
      </c>
      <c r="V34" s="217">
        <f>0.5*0.0244355390479914</f>
        <v>1.2217769523995701E-2</v>
      </c>
      <c r="W34" s="6">
        <v>0.10411514286560092</v>
      </c>
      <c r="X34" s="217">
        <v>4.1398770456570887E-2</v>
      </c>
      <c r="Y34" s="217">
        <v>4.1745149915739507E-2</v>
      </c>
      <c r="Z34" s="217">
        <f>0.5*0.0244355390479914</f>
        <v>1.2217769523995701E-2</v>
      </c>
      <c r="AA34" s="217">
        <f>0.5*0.0390968624767862</f>
        <v>1.9548431238393098E-2</v>
      </c>
      <c r="AB34" s="217">
        <f>0.5*0.0244355390479914</f>
        <v>1.2217769523995701E-2</v>
      </c>
      <c r="AC34" s="217">
        <f>0.5*0.0488710780959828</f>
        <v>2.4435539047991402E-2</v>
      </c>
      <c r="AD34" s="6">
        <v>0.18725906323791131</v>
      </c>
      <c r="AE34" s="24">
        <f t="shared" si="24"/>
        <v>0.23124303352429579</v>
      </c>
      <c r="AF34" s="246" t="s">
        <v>395</v>
      </c>
      <c r="AG34" s="248" t="s">
        <v>395</v>
      </c>
      <c r="AH34" s="218">
        <v>7.5599953938277311</v>
      </c>
      <c r="AI34" s="211">
        <f t="shared" si="25"/>
        <v>0.2</v>
      </c>
      <c r="AJ34" s="211">
        <f t="shared" si="35"/>
        <v>0.105</v>
      </c>
      <c r="AK34" s="211">
        <f t="shared" si="26"/>
        <v>0.115</v>
      </c>
      <c r="AL34" s="211">
        <f t="shared" si="34"/>
        <v>7.4999999999999997E-2</v>
      </c>
      <c r="AM34" s="211">
        <f t="shared" si="37"/>
        <v>7.4999999999999997E-2</v>
      </c>
      <c r="AN34" s="211">
        <v>0.7406571472439738</v>
      </c>
      <c r="AO34" s="211">
        <v>0.21303546752648556</v>
      </c>
      <c r="AP34" s="211" t="s">
        <v>395</v>
      </c>
      <c r="AQ34" s="211">
        <v>0.65882081989866437</v>
      </c>
      <c r="AR34" s="211">
        <f t="shared" si="28"/>
        <v>7.4999999999999997E-2</v>
      </c>
      <c r="AS34" s="218">
        <v>1.2259941655151239</v>
      </c>
      <c r="AT34" s="211">
        <v>0.73485337018271168</v>
      </c>
      <c r="AU34" s="211">
        <f t="shared" si="33"/>
        <v>0.38</v>
      </c>
      <c r="AV34" s="211">
        <f t="shared" si="29"/>
        <v>7.4999999999999997E-2</v>
      </c>
      <c r="AW34" s="211">
        <f t="shared" si="32"/>
        <v>7.4999999999999997E-2</v>
      </c>
      <c r="AX34" s="211">
        <f t="shared" ref="AX34:AX47" si="38">0.5*0.15</f>
        <v>7.4999999999999997E-2</v>
      </c>
      <c r="AY34" s="211">
        <f t="shared" si="36"/>
        <v>7.4999999999999997E-2</v>
      </c>
      <c r="AZ34" s="211">
        <f t="shared" si="36"/>
        <v>7.4999999999999997E-2</v>
      </c>
      <c r="BA34" s="211">
        <f t="shared" si="36"/>
        <v>7.4999999999999997E-2</v>
      </c>
      <c r="BB34" s="211">
        <f t="shared" si="36"/>
        <v>7.4999999999999997E-2</v>
      </c>
      <c r="BC34" s="204" t="s">
        <v>395</v>
      </c>
      <c r="BD34" s="204" t="s">
        <v>395</v>
      </c>
      <c r="BE34" s="204" t="s">
        <v>395</v>
      </c>
      <c r="BF34" s="204" t="s">
        <v>395</v>
      </c>
      <c r="BG34" s="204" t="s">
        <v>395</v>
      </c>
      <c r="BH34" s="204" t="s">
        <v>395</v>
      </c>
      <c r="BI34" s="204" t="s">
        <v>395</v>
      </c>
      <c r="BJ34" s="219" t="s">
        <v>395</v>
      </c>
      <c r="BK34" s="221" t="s">
        <v>395</v>
      </c>
      <c r="BL34" s="246" t="s">
        <v>395</v>
      </c>
      <c r="BM34" s="156" t="s">
        <v>395</v>
      </c>
      <c r="BN34" s="156">
        <v>200</v>
      </c>
      <c r="BO34" s="5" t="s">
        <v>395</v>
      </c>
      <c r="BP34" s="5" t="s">
        <v>395</v>
      </c>
      <c r="BQ34" s="5" t="s">
        <v>395</v>
      </c>
      <c r="BR34" s="5" t="s">
        <v>395</v>
      </c>
      <c r="BS34" s="5" t="s">
        <v>395</v>
      </c>
      <c r="BT34" s="5" t="s">
        <v>395</v>
      </c>
      <c r="BU34" s="5" t="s">
        <v>395</v>
      </c>
      <c r="BV34" s="5" t="s">
        <v>395</v>
      </c>
      <c r="BW34" s="5" t="s">
        <v>395</v>
      </c>
      <c r="BX34" s="5" t="s">
        <v>395</v>
      </c>
      <c r="BY34" s="5" t="s">
        <v>395</v>
      </c>
      <c r="BZ34" s="5" t="s">
        <v>395</v>
      </c>
      <c r="CA34" s="5" t="s">
        <v>395</v>
      </c>
      <c r="CB34" s="5" t="s">
        <v>395</v>
      </c>
      <c r="CC34" s="5" t="s">
        <v>395</v>
      </c>
      <c r="CD34" s="5" t="s">
        <v>395</v>
      </c>
      <c r="CE34" s="5" t="s">
        <v>395</v>
      </c>
      <c r="CF34" s="5" t="s">
        <v>395</v>
      </c>
      <c r="CG34" s="5" t="s">
        <v>395</v>
      </c>
      <c r="CH34" s="5" t="s">
        <v>395</v>
      </c>
      <c r="CI34" s="220" t="s">
        <v>395</v>
      </c>
      <c r="CJ34" s="220" t="s">
        <v>395</v>
      </c>
      <c r="CK34" s="220" t="s">
        <v>395</v>
      </c>
      <c r="CL34" s="220" t="s">
        <v>395</v>
      </c>
      <c r="CM34" s="220" t="s">
        <v>395</v>
      </c>
      <c r="CN34" s="220" t="s">
        <v>395</v>
      </c>
      <c r="CO34" s="220" t="s">
        <v>395</v>
      </c>
      <c r="CP34" s="220" t="s">
        <v>395</v>
      </c>
      <c r="CQ34" s="57" t="s">
        <v>395</v>
      </c>
      <c r="CR34" s="57" t="s">
        <v>395</v>
      </c>
      <c r="CS34" s="57" t="s">
        <v>395</v>
      </c>
      <c r="CT34" s="57" t="s">
        <v>395</v>
      </c>
      <c r="CU34" s="57" t="s">
        <v>395</v>
      </c>
      <c r="CV34" s="57" t="s">
        <v>395</v>
      </c>
      <c r="CW34" s="57" t="s">
        <v>395</v>
      </c>
      <c r="CX34" s="57" t="s">
        <v>395</v>
      </c>
      <c r="CY34" s="59" t="s">
        <v>395</v>
      </c>
    </row>
    <row r="35" spans="1:112" s="152" customFormat="1" x14ac:dyDescent="0.3">
      <c r="A35" s="153" t="s">
        <v>112</v>
      </c>
      <c r="B35" s="153" t="s">
        <v>203</v>
      </c>
      <c r="C35" s="205" t="s">
        <v>20</v>
      </c>
      <c r="D35" s="153" t="s">
        <v>385</v>
      </c>
      <c r="E35" s="154"/>
      <c r="F35" s="154"/>
      <c r="G35" s="221"/>
      <c r="H35" s="1">
        <v>2022</v>
      </c>
      <c r="I35" s="216" t="s">
        <v>33</v>
      </c>
      <c r="J35" s="216">
        <v>10</v>
      </c>
      <c r="K35" s="155">
        <v>0.65298118245927905</v>
      </c>
      <c r="L35" s="155" t="s">
        <v>395</v>
      </c>
      <c r="M35" s="91">
        <v>0.50920195439739413</v>
      </c>
      <c r="N35" s="56">
        <v>1.6076496335504886</v>
      </c>
      <c r="O35" s="56">
        <v>8.7354896172638448</v>
      </c>
      <c r="P35" s="56">
        <v>7.0583978013029318</v>
      </c>
      <c r="Q35" s="55">
        <v>18.717385993485344</v>
      </c>
      <c r="R35" s="55">
        <v>16.367324918566776</v>
      </c>
      <c r="S35" s="56">
        <v>4.8859527687296422</v>
      </c>
      <c r="T35" s="55">
        <v>57.881402687296422</v>
      </c>
      <c r="U35" s="5">
        <f t="shared" si="31"/>
        <v>389.16132846724793</v>
      </c>
      <c r="V35" s="217">
        <f>0.5*0.0254478827361564</f>
        <v>1.2723941368078201E-2</v>
      </c>
      <c r="W35" s="6">
        <v>0.16128667309218528</v>
      </c>
      <c r="X35" s="217">
        <v>4.9141992010761013E-2</v>
      </c>
      <c r="Y35" s="217">
        <v>5.7576874943663855E-2</v>
      </c>
      <c r="Z35" s="217">
        <v>2.0729818529981577E-2</v>
      </c>
      <c r="AA35" s="217">
        <v>1.3734975764403247E-2</v>
      </c>
      <c r="AB35" s="217">
        <v>3.8724312005625157E-2</v>
      </c>
      <c r="AC35" s="217">
        <f>0.5*0.0508957654723127</f>
        <v>2.5447882736156349E-2</v>
      </c>
      <c r="AD35" s="6">
        <v>0.34119464634662011</v>
      </c>
      <c r="AE35" s="24">
        <f t="shared" si="24"/>
        <v>0.33318876918471674</v>
      </c>
      <c r="AF35" s="246" t="s">
        <v>395</v>
      </c>
      <c r="AG35" s="248" t="s">
        <v>395</v>
      </c>
      <c r="AH35" s="218">
        <v>3.6754012645914393</v>
      </c>
      <c r="AI35" s="211">
        <f t="shared" si="25"/>
        <v>0.2</v>
      </c>
      <c r="AJ35" s="211">
        <v>8.2941526156506698E-2</v>
      </c>
      <c r="AK35" s="211">
        <f t="shared" si="26"/>
        <v>0.115</v>
      </c>
      <c r="AL35" s="211">
        <f t="shared" si="34"/>
        <v>7.4999999999999997E-2</v>
      </c>
      <c r="AM35" s="211">
        <f t="shared" si="37"/>
        <v>7.4999999999999997E-2</v>
      </c>
      <c r="AN35" s="211">
        <v>0.53792423259835709</v>
      </c>
      <c r="AO35" s="211">
        <v>8.5400453955901429E-2</v>
      </c>
      <c r="AP35" s="211" t="s">
        <v>395</v>
      </c>
      <c r="AQ35" s="211">
        <v>0.24189364461738003</v>
      </c>
      <c r="AR35" s="211">
        <f t="shared" si="28"/>
        <v>7.4999999999999997E-2</v>
      </c>
      <c r="AS35" s="211">
        <v>0.40881701253782965</v>
      </c>
      <c r="AT35" s="211">
        <v>0.33461683960224814</v>
      </c>
      <c r="AU35" s="211">
        <f t="shared" si="33"/>
        <v>0.38</v>
      </c>
      <c r="AV35" s="211">
        <f t="shared" si="29"/>
        <v>7.4999999999999997E-2</v>
      </c>
      <c r="AW35" s="211">
        <f t="shared" si="32"/>
        <v>7.4999999999999997E-2</v>
      </c>
      <c r="AX35" s="211">
        <f t="shared" si="38"/>
        <v>7.4999999999999997E-2</v>
      </c>
      <c r="AY35" s="211">
        <f t="shared" si="36"/>
        <v>7.4999999999999997E-2</v>
      </c>
      <c r="AZ35" s="211">
        <f t="shared" si="36"/>
        <v>7.4999999999999997E-2</v>
      </c>
      <c r="BA35" s="211">
        <f t="shared" si="36"/>
        <v>7.4999999999999997E-2</v>
      </c>
      <c r="BB35" s="211">
        <f t="shared" si="36"/>
        <v>7.4999999999999997E-2</v>
      </c>
      <c r="BC35" s="204" t="s">
        <v>395</v>
      </c>
      <c r="BD35" s="204" t="s">
        <v>395</v>
      </c>
      <c r="BE35" s="204" t="s">
        <v>395</v>
      </c>
      <c r="BF35" s="204" t="s">
        <v>395</v>
      </c>
      <c r="BG35" s="204" t="s">
        <v>395</v>
      </c>
      <c r="BH35" s="204" t="s">
        <v>395</v>
      </c>
      <c r="BI35" s="204" t="s">
        <v>395</v>
      </c>
      <c r="BJ35" s="219" t="s">
        <v>395</v>
      </c>
      <c r="BK35" s="221" t="s">
        <v>395</v>
      </c>
      <c r="BL35" s="246" t="s">
        <v>395</v>
      </c>
      <c r="BM35" s="156" t="s">
        <v>395</v>
      </c>
      <c r="BN35" s="156">
        <v>260</v>
      </c>
      <c r="BO35" s="5" t="s">
        <v>395</v>
      </c>
      <c r="BP35" s="5" t="s">
        <v>395</v>
      </c>
      <c r="BQ35" s="5" t="s">
        <v>395</v>
      </c>
      <c r="BR35" s="5" t="s">
        <v>395</v>
      </c>
      <c r="BS35" s="5" t="s">
        <v>395</v>
      </c>
      <c r="BT35" s="5" t="s">
        <v>395</v>
      </c>
      <c r="BU35" s="5" t="s">
        <v>395</v>
      </c>
      <c r="BV35" s="5" t="s">
        <v>395</v>
      </c>
      <c r="BW35" s="5" t="s">
        <v>395</v>
      </c>
      <c r="BX35" s="5" t="s">
        <v>395</v>
      </c>
      <c r="BY35" s="5" t="s">
        <v>395</v>
      </c>
      <c r="BZ35" s="5" t="s">
        <v>395</v>
      </c>
      <c r="CA35" s="5" t="s">
        <v>395</v>
      </c>
      <c r="CB35" s="5" t="s">
        <v>395</v>
      </c>
      <c r="CC35" s="5" t="s">
        <v>395</v>
      </c>
      <c r="CD35" s="5" t="s">
        <v>395</v>
      </c>
      <c r="CE35" s="5" t="s">
        <v>395</v>
      </c>
      <c r="CF35" s="5" t="s">
        <v>395</v>
      </c>
      <c r="CG35" s="5" t="s">
        <v>395</v>
      </c>
      <c r="CH35" s="5" t="s">
        <v>395</v>
      </c>
      <c r="CI35" s="220" t="s">
        <v>395</v>
      </c>
      <c r="CJ35" s="220" t="s">
        <v>395</v>
      </c>
      <c r="CK35" s="220" t="s">
        <v>395</v>
      </c>
      <c r="CL35" s="220" t="s">
        <v>395</v>
      </c>
      <c r="CM35" s="220" t="s">
        <v>395</v>
      </c>
      <c r="CN35" s="220" t="s">
        <v>395</v>
      </c>
      <c r="CO35" s="220" t="s">
        <v>395</v>
      </c>
      <c r="CP35" s="220" t="s">
        <v>395</v>
      </c>
      <c r="CQ35" s="57" t="s">
        <v>395</v>
      </c>
      <c r="CR35" s="57" t="s">
        <v>395</v>
      </c>
      <c r="CS35" s="57" t="s">
        <v>395</v>
      </c>
      <c r="CT35" s="57" t="s">
        <v>395</v>
      </c>
      <c r="CU35" s="57" t="s">
        <v>395</v>
      </c>
      <c r="CV35" s="57" t="s">
        <v>395</v>
      </c>
      <c r="CW35" s="57" t="s">
        <v>395</v>
      </c>
      <c r="CX35" s="57" t="s">
        <v>395</v>
      </c>
      <c r="CY35" s="59" t="s">
        <v>395</v>
      </c>
    </row>
    <row r="36" spans="1:112" s="152" customFormat="1" x14ac:dyDescent="0.3">
      <c r="A36" s="153" t="s">
        <v>25</v>
      </c>
      <c r="B36" s="153" t="s">
        <v>204</v>
      </c>
      <c r="C36" s="205" t="s">
        <v>20</v>
      </c>
      <c r="D36" s="153" t="s">
        <v>386</v>
      </c>
      <c r="E36" s="159"/>
      <c r="F36" s="159"/>
      <c r="G36" s="221"/>
      <c r="H36" s="1">
        <v>2022</v>
      </c>
      <c r="I36" s="216" t="s">
        <v>33</v>
      </c>
      <c r="J36" s="216">
        <v>10</v>
      </c>
      <c r="K36" s="155">
        <v>0.73058563278617705</v>
      </c>
      <c r="L36" s="155" t="s">
        <v>395</v>
      </c>
      <c r="M36" s="224">
        <v>1.6602198697068405E-2</v>
      </c>
      <c r="N36" s="224">
        <v>6.4296620521172645E-2</v>
      </c>
      <c r="O36" s="91">
        <v>0.6523259364820847</v>
      </c>
      <c r="P36" s="91">
        <v>0.52186482084690555</v>
      </c>
      <c r="Q36" s="56">
        <v>2.4447068403908796</v>
      </c>
      <c r="R36" s="56">
        <v>1.9870724755700326</v>
      </c>
      <c r="S36" s="91">
        <v>0.77715798045602613</v>
      </c>
      <c r="T36" s="56">
        <v>6.4640268729641699</v>
      </c>
      <c r="U36" s="5">
        <f t="shared" si="31"/>
        <v>40.667115430781934</v>
      </c>
      <c r="V36" s="226">
        <f>0.5*0.0249476100189602</f>
        <v>1.24738050094801E-2</v>
      </c>
      <c r="W36" s="226">
        <v>5.9307689370571882E-2</v>
      </c>
      <c r="X36" s="226">
        <v>2.3686840116865653E-2</v>
      </c>
      <c r="Y36" s="226">
        <v>2.6736920990871979E-2</v>
      </c>
      <c r="Z36" s="226">
        <f>0.5*0.0249476100189602</f>
        <v>1.24738050094801E-2</v>
      </c>
      <c r="AA36" s="226">
        <f>0.5*0.0399161760303363</f>
        <v>1.995808801516815E-2</v>
      </c>
      <c r="AB36" s="226">
        <f>0.5*0.0249476100189602</f>
        <v>1.24738050094801E-2</v>
      </c>
      <c r="AC36" s="217">
        <f>0.5*0.0498952200379204</f>
        <v>2.49476100189602E-2</v>
      </c>
      <c r="AD36" s="6">
        <v>0.10973145047830951</v>
      </c>
      <c r="AE36" s="24">
        <f t="shared" si="24"/>
        <v>0.15463714851243787</v>
      </c>
      <c r="AF36" s="246" t="s">
        <v>395</v>
      </c>
      <c r="AG36" s="249" t="s">
        <v>395</v>
      </c>
      <c r="AH36" s="222">
        <v>25.227138223410918</v>
      </c>
      <c r="AI36" s="211">
        <f t="shared" si="25"/>
        <v>0.2</v>
      </c>
      <c r="AJ36" s="211">
        <v>7.8662341850186848E-2</v>
      </c>
      <c r="AK36" s="211">
        <f t="shared" si="26"/>
        <v>0.115</v>
      </c>
      <c r="AL36" s="211">
        <f t="shared" si="34"/>
        <v>7.4999999999999997E-2</v>
      </c>
      <c r="AM36" s="211">
        <f t="shared" si="37"/>
        <v>7.4999999999999997E-2</v>
      </c>
      <c r="AN36" s="218">
        <v>1.3403327073730535</v>
      </c>
      <c r="AO36" s="211">
        <v>0.41603596426335859</v>
      </c>
      <c r="AP36" s="211" t="s">
        <v>395</v>
      </c>
      <c r="AQ36" s="211">
        <v>0.62425311557502994</v>
      </c>
      <c r="AR36" s="211">
        <f t="shared" si="28"/>
        <v>7.4999999999999997E-2</v>
      </c>
      <c r="AS36" s="211">
        <v>0.52332176255240048</v>
      </c>
      <c r="AT36" s="211">
        <v>0.18372882641931751</v>
      </c>
      <c r="AU36" s="211">
        <f t="shared" si="33"/>
        <v>0.38</v>
      </c>
      <c r="AV36" s="211">
        <f t="shared" si="29"/>
        <v>7.4999999999999997E-2</v>
      </c>
      <c r="AW36" s="211">
        <f t="shared" si="32"/>
        <v>7.4999999999999997E-2</v>
      </c>
      <c r="AX36" s="211">
        <f t="shared" si="38"/>
        <v>7.4999999999999997E-2</v>
      </c>
      <c r="AY36" s="211">
        <f t="shared" si="36"/>
        <v>7.4999999999999997E-2</v>
      </c>
      <c r="AZ36" s="211">
        <f t="shared" si="36"/>
        <v>7.4999999999999997E-2</v>
      </c>
      <c r="BA36" s="211">
        <f t="shared" si="36"/>
        <v>7.4999999999999997E-2</v>
      </c>
      <c r="BB36" s="211">
        <f t="shared" si="36"/>
        <v>7.4999999999999997E-2</v>
      </c>
      <c r="BC36" s="204" t="s">
        <v>395</v>
      </c>
      <c r="BD36" s="204" t="s">
        <v>395</v>
      </c>
      <c r="BE36" s="204" t="s">
        <v>395</v>
      </c>
      <c r="BF36" s="204" t="s">
        <v>395</v>
      </c>
      <c r="BG36" s="204" t="s">
        <v>395</v>
      </c>
      <c r="BH36" s="204" t="s">
        <v>395</v>
      </c>
      <c r="BI36" s="204" t="s">
        <v>395</v>
      </c>
      <c r="BJ36" s="219" t="s">
        <v>395</v>
      </c>
      <c r="BK36" s="221" t="s">
        <v>395</v>
      </c>
      <c r="BL36" s="246" t="s">
        <v>395</v>
      </c>
      <c r="BM36" s="156" t="s">
        <v>395</v>
      </c>
      <c r="BN36" s="156">
        <v>140</v>
      </c>
      <c r="BO36" s="5" t="s">
        <v>395</v>
      </c>
      <c r="BP36" s="5" t="s">
        <v>395</v>
      </c>
      <c r="BQ36" s="5" t="s">
        <v>395</v>
      </c>
      <c r="BR36" s="5" t="s">
        <v>395</v>
      </c>
      <c r="BS36" s="5" t="s">
        <v>395</v>
      </c>
      <c r="BT36" s="5" t="s">
        <v>395</v>
      </c>
      <c r="BU36" s="5" t="s">
        <v>395</v>
      </c>
      <c r="BV36" s="5" t="s">
        <v>395</v>
      </c>
      <c r="BW36" s="5" t="s">
        <v>395</v>
      </c>
      <c r="BX36" s="5" t="s">
        <v>395</v>
      </c>
      <c r="BY36" s="5" t="s">
        <v>395</v>
      </c>
      <c r="BZ36" s="5" t="s">
        <v>395</v>
      </c>
      <c r="CA36" s="5" t="s">
        <v>395</v>
      </c>
      <c r="CB36" s="5" t="s">
        <v>395</v>
      </c>
      <c r="CC36" s="5" t="s">
        <v>395</v>
      </c>
      <c r="CD36" s="5" t="s">
        <v>395</v>
      </c>
      <c r="CE36" s="5" t="s">
        <v>395</v>
      </c>
      <c r="CF36" s="5" t="s">
        <v>395</v>
      </c>
      <c r="CG36" s="5" t="s">
        <v>395</v>
      </c>
      <c r="CH36" s="5" t="s">
        <v>395</v>
      </c>
      <c r="CI36" s="220" t="s">
        <v>395</v>
      </c>
      <c r="CJ36" s="220" t="s">
        <v>395</v>
      </c>
      <c r="CK36" s="220" t="s">
        <v>395</v>
      </c>
      <c r="CL36" s="220" t="s">
        <v>395</v>
      </c>
      <c r="CM36" s="220" t="s">
        <v>395</v>
      </c>
      <c r="CN36" s="220" t="s">
        <v>395</v>
      </c>
      <c r="CO36" s="220" t="s">
        <v>395</v>
      </c>
      <c r="CP36" s="220" t="s">
        <v>395</v>
      </c>
      <c r="CQ36" s="57" t="s">
        <v>395</v>
      </c>
      <c r="CR36" s="57" t="s">
        <v>395</v>
      </c>
      <c r="CS36" s="57" t="s">
        <v>395</v>
      </c>
      <c r="CT36" s="57" t="s">
        <v>395</v>
      </c>
      <c r="CU36" s="57" t="s">
        <v>395</v>
      </c>
      <c r="CV36" s="57" t="s">
        <v>395</v>
      </c>
      <c r="CW36" s="57" t="s">
        <v>395</v>
      </c>
      <c r="CX36" s="57" t="s">
        <v>395</v>
      </c>
      <c r="CY36" s="59" t="s">
        <v>395</v>
      </c>
    </row>
    <row r="37" spans="1:112" x14ac:dyDescent="0.3">
      <c r="A37" s="153" t="s">
        <v>27</v>
      </c>
      <c r="B37" s="153" t="s">
        <v>27</v>
      </c>
      <c r="C37" s="205" t="s">
        <v>20</v>
      </c>
      <c r="D37" s="153"/>
      <c r="E37" s="159"/>
      <c r="F37" s="159"/>
      <c r="G37" s="245">
        <v>45201</v>
      </c>
      <c r="H37" s="1">
        <v>2023</v>
      </c>
      <c r="I37" s="216" t="s">
        <v>33</v>
      </c>
      <c r="J37" s="216">
        <v>10</v>
      </c>
      <c r="K37" s="155">
        <v>0.61740590733972145</v>
      </c>
      <c r="L37" s="155" t="s">
        <v>395</v>
      </c>
      <c r="M37" s="224">
        <v>7.8784552439876254E-2</v>
      </c>
      <c r="N37" s="91">
        <v>0.20930046901506835</v>
      </c>
      <c r="O37" s="91">
        <v>0.27039217642949803</v>
      </c>
      <c r="P37" s="91">
        <v>0.34141303263147388</v>
      </c>
      <c r="Q37" s="91">
        <v>0.60452549645743936</v>
      </c>
      <c r="R37" s="91">
        <v>0.5178425306855603</v>
      </c>
      <c r="S37" s="91">
        <v>0.11912483784053486</v>
      </c>
      <c r="T37" s="56">
        <v>2.1413830954994513</v>
      </c>
      <c r="U37" s="5">
        <f t="shared" si="31"/>
        <v>14.576877557130027</v>
      </c>
      <c r="V37" s="226">
        <f>0.5*0.0249505461028524</f>
        <v>1.24752730514262E-2</v>
      </c>
      <c r="W37" s="227">
        <v>2.6367171829684042E-2</v>
      </c>
      <c r="X37" s="212">
        <v>6.808038361600416E-3</v>
      </c>
      <c r="Y37" s="226">
        <v>1.377765595311382E-2</v>
      </c>
      <c r="Z37" s="227">
        <f>0.5*0.0249505461028524</f>
        <v>1.24752730514262E-2</v>
      </c>
      <c r="AA37" s="227">
        <f>0.5*0.0399208737645639</f>
        <v>1.996043688228195E-2</v>
      </c>
      <c r="AB37" s="227">
        <f>0.5*0.0249505461028524</f>
        <v>1.24752730514262E-2</v>
      </c>
      <c r="AC37" s="217">
        <f>0.5*0.0503119339907426</f>
        <v>2.5155966995371301E-2</v>
      </c>
      <c r="AD37" s="217">
        <v>4.6952866144398281E-2</v>
      </c>
      <c r="AE37" s="24">
        <f t="shared" si="24"/>
        <v>9.1863849129532646E-2</v>
      </c>
      <c r="AF37" s="246" t="s">
        <v>395</v>
      </c>
      <c r="AG37" s="249" t="s">
        <v>395</v>
      </c>
      <c r="AH37" s="218">
        <v>5.3173383187924124</v>
      </c>
      <c r="AI37" s="211">
        <f t="shared" si="25"/>
        <v>0.2</v>
      </c>
      <c r="AJ37" s="211">
        <f>0.5*0.21</f>
        <v>0.105</v>
      </c>
      <c r="AK37" s="211">
        <f t="shared" si="26"/>
        <v>0.115</v>
      </c>
      <c r="AL37" s="211">
        <f t="shared" si="34"/>
        <v>7.4999999999999997E-2</v>
      </c>
      <c r="AM37" s="211">
        <f t="shared" si="37"/>
        <v>7.4999999999999997E-2</v>
      </c>
      <c r="AN37" s="211">
        <v>0.2398867500653957</v>
      </c>
      <c r="AO37" s="211">
        <f>0.5*0.15</f>
        <v>7.4999999999999997E-2</v>
      </c>
      <c r="AP37" s="211" t="s">
        <v>395</v>
      </c>
      <c r="AQ37" s="211">
        <v>0.15851913400729359</v>
      </c>
      <c r="AR37" s="211">
        <f t="shared" si="28"/>
        <v>7.4999999999999997E-2</v>
      </c>
      <c r="AS37" s="211">
        <f>0.5*0.37</f>
        <v>0.185</v>
      </c>
      <c r="AT37" s="211">
        <f>0.5*0.41</f>
        <v>0.20499999999999999</v>
      </c>
      <c r="AU37" s="211">
        <f t="shared" si="33"/>
        <v>0.38</v>
      </c>
      <c r="AV37" s="211">
        <f t="shared" si="29"/>
        <v>7.4999999999999997E-2</v>
      </c>
      <c r="AW37" s="211">
        <f t="shared" si="32"/>
        <v>7.4999999999999997E-2</v>
      </c>
      <c r="AX37" s="211">
        <f t="shared" si="38"/>
        <v>7.4999999999999997E-2</v>
      </c>
      <c r="AY37" s="211">
        <f t="shared" si="36"/>
        <v>7.4999999999999997E-2</v>
      </c>
      <c r="AZ37" s="211">
        <f t="shared" si="36"/>
        <v>7.4999999999999997E-2</v>
      </c>
      <c r="BA37" s="211">
        <f t="shared" si="36"/>
        <v>7.4999999999999997E-2</v>
      </c>
      <c r="BB37" s="211">
        <f t="shared" si="36"/>
        <v>7.4999999999999997E-2</v>
      </c>
      <c r="BC37" s="204" t="s">
        <v>395</v>
      </c>
      <c r="BD37" s="204" t="s">
        <v>395</v>
      </c>
      <c r="BE37" s="204" t="s">
        <v>395</v>
      </c>
      <c r="BF37" s="204" t="s">
        <v>395</v>
      </c>
      <c r="BG37" s="204" t="s">
        <v>395</v>
      </c>
      <c r="BH37" s="204" t="s">
        <v>395</v>
      </c>
      <c r="BI37" s="204" t="s">
        <v>395</v>
      </c>
      <c r="BJ37" s="219" t="s">
        <v>395</v>
      </c>
      <c r="BK37" s="221" t="s">
        <v>395</v>
      </c>
      <c r="BL37" s="246" t="s">
        <v>395</v>
      </c>
      <c r="BM37" s="156" t="s">
        <v>395</v>
      </c>
      <c r="BN37" s="156">
        <v>55</v>
      </c>
      <c r="BO37" s="5" t="s">
        <v>395</v>
      </c>
      <c r="BP37" s="5" t="s">
        <v>395</v>
      </c>
      <c r="BQ37" s="5" t="s">
        <v>395</v>
      </c>
      <c r="BR37" s="5" t="s">
        <v>395</v>
      </c>
      <c r="BS37" s="5" t="s">
        <v>395</v>
      </c>
      <c r="BT37" s="5" t="s">
        <v>395</v>
      </c>
      <c r="BU37" s="5" t="s">
        <v>395</v>
      </c>
      <c r="BV37" s="5" t="s">
        <v>395</v>
      </c>
      <c r="BW37" s="5" t="s">
        <v>395</v>
      </c>
      <c r="BX37" s="5" t="s">
        <v>395</v>
      </c>
      <c r="BY37" s="5" t="s">
        <v>395</v>
      </c>
      <c r="BZ37" s="5" t="s">
        <v>395</v>
      </c>
      <c r="CA37" s="5" t="s">
        <v>395</v>
      </c>
      <c r="CB37" s="5" t="s">
        <v>395</v>
      </c>
      <c r="CC37" s="5" t="s">
        <v>395</v>
      </c>
      <c r="CD37" s="5" t="s">
        <v>395</v>
      </c>
      <c r="CE37" s="5" t="s">
        <v>395</v>
      </c>
      <c r="CF37" s="5" t="s">
        <v>395</v>
      </c>
      <c r="CG37" s="5" t="s">
        <v>395</v>
      </c>
      <c r="CH37" s="5" t="s">
        <v>395</v>
      </c>
      <c r="CI37" s="220" t="s">
        <v>395</v>
      </c>
      <c r="CJ37" s="220" t="s">
        <v>395</v>
      </c>
      <c r="CK37" s="220" t="s">
        <v>395</v>
      </c>
      <c r="CL37" s="220" t="s">
        <v>395</v>
      </c>
      <c r="CM37" s="220" t="s">
        <v>395</v>
      </c>
      <c r="CN37" s="220" t="s">
        <v>395</v>
      </c>
      <c r="CO37" s="220" t="s">
        <v>395</v>
      </c>
      <c r="CP37" s="220" t="s">
        <v>395</v>
      </c>
      <c r="CQ37" s="57" t="s">
        <v>395</v>
      </c>
      <c r="CR37" s="57" t="s">
        <v>395</v>
      </c>
      <c r="CS37" s="57" t="s">
        <v>395</v>
      </c>
      <c r="CT37" s="57" t="s">
        <v>395</v>
      </c>
      <c r="CU37" s="57" t="s">
        <v>395</v>
      </c>
      <c r="CV37" s="57" t="s">
        <v>395</v>
      </c>
      <c r="CW37" s="57" t="s">
        <v>395</v>
      </c>
      <c r="CX37" s="57" t="s">
        <v>395</v>
      </c>
      <c r="CY37" s="59" t="s">
        <v>395</v>
      </c>
    </row>
    <row r="38" spans="1:112" x14ac:dyDescent="0.3">
      <c r="A38" s="153" t="s">
        <v>9</v>
      </c>
      <c r="B38" s="153" t="s">
        <v>9</v>
      </c>
      <c r="C38" s="205" t="s">
        <v>20</v>
      </c>
      <c r="D38" s="153"/>
      <c r="E38" s="159"/>
      <c r="F38" s="159"/>
      <c r="G38" s="221"/>
      <c r="H38" s="1">
        <v>2023</v>
      </c>
      <c r="I38" s="216" t="s">
        <v>33</v>
      </c>
      <c r="J38" s="216">
        <v>10</v>
      </c>
      <c r="K38" s="155">
        <v>0.44437736861528004</v>
      </c>
      <c r="L38" s="155" t="s">
        <v>395</v>
      </c>
      <c r="M38" s="224">
        <v>1.8747478822105687E-2</v>
      </c>
      <c r="N38" s="224">
        <v>4.3944130697862037E-2</v>
      </c>
      <c r="O38" s="91">
        <v>0.50328257361839446</v>
      </c>
      <c r="P38" s="91">
        <v>0.3623537716821299</v>
      </c>
      <c r="Q38" s="56">
        <v>1.7941306978620413</v>
      </c>
      <c r="R38" s="56">
        <v>1.4217123840258168</v>
      </c>
      <c r="S38" s="91">
        <v>0.55446752722872128</v>
      </c>
      <c r="T38" s="56">
        <v>4.6986385639370711</v>
      </c>
      <c r="U38" s="5">
        <f t="shared" si="31"/>
        <v>48.790567415338863</v>
      </c>
      <c r="V38" s="217">
        <f>0.5*0.0252117789431222</f>
        <v>1.26058894715611E-2</v>
      </c>
      <c r="W38" s="217">
        <v>3.5733829420005081E-2</v>
      </c>
      <c r="X38" s="217">
        <v>1.3955212647096787E-2</v>
      </c>
      <c r="Y38" s="217">
        <v>1.6885135579140641E-2</v>
      </c>
      <c r="Z38" s="217">
        <f>0.5*0.0252117789431222</f>
        <v>1.26058894715611E-2</v>
      </c>
      <c r="AA38" s="217">
        <f>0.5*0.0403388463089956</f>
        <v>2.0169423154497799E-2</v>
      </c>
      <c r="AB38" s="217">
        <f>0.5*0.0252117789431222</f>
        <v>1.26058894715611E-2</v>
      </c>
      <c r="AC38" s="217">
        <f>0.5*0.0504235578862445</f>
        <v>2.5211778943122251E-2</v>
      </c>
      <c r="AD38" s="217">
        <v>6.6574177646242516E-2</v>
      </c>
      <c r="AE38" s="24">
        <f t="shared" si="24"/>
        <v>0.11195537974386251</v>
      </c>
      <c r="AF38" s="246" t="s">
        <v>395</v>
      </c>
      <c r="AG38" s="249" t="s">
        <v>395</v>
      </c>
      <c r="AH38" s="218">
        <v>2.1739130434782612</v>
      </c>
      <c r="AI38" s="211">
        <f>0.5*0.33</f>
        <v>0.16500000000000001</v>
      </c>
      <c r="AJ38" s="211">
        <v>0.22068885921089512</v>
      </c>
      <c r="AK38" s="211">
        <f>0.5*0.15</f>
        <v>7.4999999999999997E-2</v>
      </c>
      <c r="AL38" s="211">
        <f t="shared" si="34"/>
        <v>7.4999999999999997E-2</v>
      </c>
      <c r="AM38" s="211">
        <f t="shared" si="37"/>
        <v>7.4999999999999997E-2</v>
      </c>
      <c r="AN38" s="211">
        <v>0.48414700499579566</v>
      </c>
      <c r="AO38" s="211">
        <f>0.5*0.15</f>
        <v>7.4999999999999997E-2</v>
      </c>
      <c r="AP38" s="211" t="s">
        <v>395</v>
      </c>
      <c r="AQ38" s="211">
        <v>0.23869350876325207</v>
      </c>
      <c r="AR38" s="211">
        <f t="shared" si="28"/>
        <v>7.4999999999999997E-2</v>
      </c>
      <c r="AS38" s="211">
        <v>0.10443356251339632</v>
      </c>
      <c r="AT38" s="211">
        <f>0.5*0.48</f>
        <v>0.24</v>
      </c>
      <c r="AU38" s="211">
        <f>0.5*0.52</f>
        <v>0.26</v>
      </c>
      <c r="AV38" s="211">
        <f t="shared" si="29"/>
        <v>7.4999999999999997E-2</v>
      </c>
      <c r="AW38" s="211">
        <f t="shared" si="32"/>
        <v>7.4999999999999997E-2</v>
      </c>
      <c r="AX38" s="211">
        <f t="shared" si="38"/>
        <v>7.4999999999999997E-2</v>
      </c>
      <c r="AY38" s="211">
        <f t="shared" si="36"/>
        <v>7.4999999999999997E-2</v>
      </c>
      <c r="AZ38" s="211">
        <f t="shared" si="36"/>
        <v>7.4999999999999997E-2</v>
      </c>
      <c r="BA38" s="211">
        <f t="shared" si="36"/>
        <v>7.4999999999999997E-2</v>
      </c>
      <c r="BB38" s="211">
        <f t="shared" si="36"/>
        <v>7.4999999999999997E-2</v>
      </c>
      <c r="BC38" s="204" t="s">
        <v>395</v>
      </c>
      <c r="BD38" s="204" t="s">
        <v>395</v>
      </c>
      <c r="BE38" s="204" t="s">
        <v>395</v>
      </c>
      <c r="BF38" s="204" t="s">
        <v>395</v>
      </c>
      <c r="BG38" s="204" t="s">
        <v>395</v>
      </c>
      <c r="BH38" s="204" t="s">
        <v>395</v>
      </c>
      <c r="BI38" s="204" t="s">
        <v>395</v>
      </c>
      <c r="BJ38" s="219" t="s">
        <v>395</v>
      </c>
      <c r="BK38" s="221" t="s">
        <v>395</v>
      </c>
      <c r="BL38" s="246" t="s">
        <v>395</v>
      </c>
      <c r="BM38" s="156" t="s">
        <v>395</v>
      </c>
      <c r="BN38" s="156">
        <v>31</v>
      </c>
      <c r="BO38" s="5" t="s">
        <v>395</v>
      </c>
      <c r="BP38" s="5" t="s">
        <v>395</v>
      </c>
      <c r="BQ38" s="5" t="s">
        <v>395</v>
      </c>
      <c r="BR38" s="5" t="s">
        <v>395</v>
      </c>
      <c r="BS38" s="5" t="s">
        <v>395</v>
      </c>
      <c r="BT38" s="5" t="s">
        <v>395</v>
      </c>
      <c r="BU38" s="5" t="s">
        <v>395</v>
      </c>
      <c r="BV38" s="5" t="s">
        <v>395</v>
      </c>
      <c r="BW38" s="5" t="s">
        <v>395</v>
      </c>
      <c r="BX38" s="5" t="s">
        <v>395</v>
      </c>
      <c r="BY38" s="5" t="s">
        <v>395</v>
      </c>
      <c r="BZ38" s="5" t="s">
        <v>395</v>
      </c>
      <c r="CA38" s="5" t="s">
        <v>395</v>
      </c>
      <c r="CB38" s="5" t="s">
        <v>395</v>
      </c>
      <c r="CC38" s="5" t="s">
        <v>395</v>
      </c>
      <c r="CD38" s="5" t="s">
        <v>395</v>
      </c>
      <c r="CE38" s="5" t="s">
        <v>395</v>
      </c>
      <c r="CF38" s="5" t="s">
        <v>395</v>
      </c>
      <c r="CG38" s="5" t="s">
        <v>395</v>
      </c>
      <c r="CH38" s="5" t="s">
        <v>395</v>
      </c>
      <c r="CI38" s="220" t="s">
        <v>395</v>
      </c>
      <c r="CJ38" s="220" t="s">
        <v>395</v>
      </c>
      <c r="CK38" s="220" t="s">
        <v>395</v>
      </c>
      <c r="CL38" s="220" t="s">
        <v>395</v>
      </c>
      <c r="CM38" s="220" t="s">
        <v>395</v>
      </c>
      <c r="CN38" s="220" t="s">
        <v>395</v>
      </c>
      <c r="CO38" s="220" t="s">
        <v>395</v>
      </c>
      <c r="CP38" s="220" t="s">
        <v>395</v>
      </c>
      <c r="CQ38" s="57" t="s">
        <v>395</v>
      </c>
      <c r="CR38" s="57" t="s">
        <v>395</v>
      </c>
      <c r="CS38" s="57" t="s">
        <v>395</v>
      </c>
      <c r="CT38" s="57" t="s">
        <v>395</v>
      </c>
      <c r="CU38" s="57" t="s">
        <v>395</v>
      </c>
      <c r="CV38" s="57" t="s">
        <v>395</v>
      </c>
      <c r="CW38" s="57" t="s">
        <v>395</v>
      </c>
      <c r="CX38" s="57" t="s">
        <v>395</v>
      </c>
      <c r="CY38" s="59" t="s">
        <v>395</v>
      </c>
    </row>
    <row r="39" spans="1:112" s="152" customFormat="1" x14ac:dyDescent="0.3">
      <c r="A39" s="153" t="s">
        <v>112</v>
      </c>
      <c r="B39" s="153" t="s">
        <v>205</v>
      </c>
      <c r="C39" s="205" t="s">
        <v>20</v>
      </c>
      <c r="D39" s="157" t="s">
        <v>387</v>
      </c>
      <c r="E39" s="221"/>
      <c r="F39" s="221"/>
      <c r="G39" s="221"/>
      <c r="H39" s="1">
        <v>2021</v>
      </c>
      <c r="I39" s="216" t="s">
        <v>33</v>
      </c>
      <c r="J39" s="216">
        <v>10</v>
      </c>
      <c r="K39" s="155">
        <v>0.61660316823744066</v>
      </c>
      <c r="L39" s="155" t="s">
        <v>395</v>
      </c>
      <c r="M39" s="91">
        <v>0.474017489194894</v>
      </c>
      <c r="N39" s="56">
        <v>1.2912704794451704</v>
      </c>
      <c r="O39" s="56">
        <v>4.0869082319831138</v>
      </c>
      <c r="P39" s="56">
        <v>2.9437832948034979</v>
      </c>
      <c r="Q39" s="56">
        <v>6.3638456126243845</v>
      </c>
      <c r="R39" s="56">
        <v>6.0521660468388783</v>
      </c>
      <c r="S39" s="56">
        <v>1.619429088350588</v>
      </c>
      <c r="T39" s="55">
        <v>22.831420243240526</v>
      </c>
      <c r="U39" s="5">
        <f t="shared" si="31"/>
        <v>161.26771619813289</v>
      </c>
      <c r="V39" s="226">
        <f>0.5*0.0251281535832747</f>
        <v>1.256407679163735E-2</v>
      </c>
      <c r="W39" s="226">
        <v>6.662265647338611E-2</v>
      </c>
      <c r="X39" s="226">
        <v>2.914336205561709E-2</v>
      </c>
      <c r="Y39" s="226">
        <v>4.5438680411655073E-2</v>
      </c>
      <c r="Z39" s="226">
        <f>0.5*0.0251281535832747</f>
        <v>1.256407679163735E-2</v>
      </c>
      <c r="AA39" s="226">
        <f>0.5*0.0402050457332395</f>
        <v>2.0102522866619749E-2</v>
      </c>
      <c r="AB39" s="226">
        <f>0.5*0.0251281535832747</f>
        <v>1.256407679163735E-2</v>
      </c>
      <c r="AC39" s="81">
        <f>0.5*0.0502563071665494</f>
        <v>2.51281535832747E-2</v>
      </c>
      <c r="AD39" s="228">
        <v>0.14120469894065826</v>
      </c>
      <c r="AE39" s="24">
        <f t="shared" si="24"/>
        <v>0.18643537539055274</v>
      </c>
      <c r="AF39" s="248" t="s">
        <v>395</v>
      </c>
      <c r="AG39" s="64" t="s">
        <v>395</v>
      </c>
      <c r="AH39" s="218">
        <v>5.2617859003299197</v>
      </c>
      <c r="AI39" s="211">
        <f>0.5*0.4</f>
        <v>0.2</v>
      </c>
      <c r="AJ39" s="211">
        <f>0.5*0.21</f>
        <v>0.105</v>
      </c>
      <c r="AK39" s="211">
        <f>0.5*0.23</f>
        <v>0.115</v>
      </c>
      <c r="AL39" s="211">
        <f t="shared" si="34"/>
        <v>7.4999999999999997E-2</v>
      </c>
      <c r="AM39" s="211">
        <v>5.248306997742664E-2</v>
      </c>
      <c r="AN39" s="211">
        <v>0.78228280372749925</v>
      </c>
      <c r="AO39" s="211">
        <v>0.12988366035770102</v>
      </c>
      <c r="AP39" s="211" t="s">
        <v>395</v>
      </c>
      <c r="AQ39" s="211">
        <v>0.41326619204723053</v>
      </c>
      <c r="AR39" s="211">
        <f t="shared" si="28"/>
        <v>7.4999999999999997E-2</v>
      </c>
      <c r="AS39" s="211">
        <v>0.84139318168663557</v>
      </c>
      <c r="AT39" s="211">
        <v>0.36389419459396899</v>
      </c>
      <c r="AU39" s="211">
        <f>0.5*0.76</f>
        <v>0.38</v>
      </c>
      <c r="AV39" s="211">
        <f t="shared" si="29"/>
        <v>7.4999999999999997E-2</v>
      </c>
      <c r="AW39" s="211">
        <f t="shared" si="32"/>
        <v>7.4999999999999997E-2</v>
      </c>
      <c r="AX39" s="211">
        <f t="shared" si="38"/>
        <v>7.4999999999999997E-2</v>
      </c>
      <c r="AY39" s="211">
        <f t="shared" si="36"/>
        <v>7.4999999999999997E-2</v>
      </c>
      <c r="AZ39" s="211">
        <f t="shared" si="36"/>
        <v>7.4999999999999997E-2</v>
      </c>
      <c r="BA39" s="211">
        <f t="shared" si="36"/>
        <v>7.4999999999999997E-2</v>
      </c>
      <c r="BB39" s="211">
        <f t="shared" si="36"/>
        <v>7.4999999999999997E-2</v>
      </c>
      <c r="BC39" s="204" t="s">
        <v>395</v>
      </c>
      <c r="BD39" s="204" t="s">
        <v>395</v>
      </c>
      <c r="BE39" s="204" t="s">
        <v>395</v>
      </c>
      <c r="BF39" s="204" t="s">
        <v>395</v>
      </c>
      <c r="BG39" s="204" t="s">
        <v>395</v>
      </c>
      <c r="BH39" s="204" t="s">
        <v>395</v>
      </c>
      <c r="BI39" s="204" t="s">
        <v>395</v>
      </c>
      <c r="BJ39" s="219" t="s">
        <v>395</v>
      </c>
      <c r="BK39" s="225" t="s">
        <v>395</v>
      </c>
      <c r="BL39" s="248" t="s">
        <v>395</v>
      </c>
      <c r="BM39" s="156" t="s">
        <v>395</v>
      </c>
      <c r="BN39" s="156">
        <v>200</v>
      </c>
      <c r="BO39" s="5" t="s">
        <v>395</v>
      </c>
      <c r="BP39" s="5" t="s">
        <v>395</v>
      </c>
      <c r="BQ39" s="5" t="s">
        <v>395</v>
      </c>
      <c r="BR39" s="5" t="s">
        <v>395</v>
      </c>
      <c r="BS39" s="5" t="s">
        <v>395</v>
      </c>
      <c r="BT39" s="5" t="s">
        <v>395</v>
      </c>
      <c r="BU39" s="5" t="s">
        <v>395</v>
      </c>
      <c r="BV39" s="5" t="s">
        <v>395</v>
      </c>
      <c r="BW39" s="5" t="s">
        <v>395</v>
      </c>
      <c r="BX39" s="5" t="s">
        <v>395</v>
      </c>
      <c r="BY39" s="5" t="s">
        <v>395</v>
      </c>
      <c r="BZ39" s="5" t="s">
        <v>395</v>
      </c>
      <c r="CA39" s="5" t="s">
        <v>395</v>
      </c>
      <c r="CB39" s="5" t="s">
        <v>395</v>
      </c>
      <c r="CC39" s="5" t="s">
        <v>395</v>
      </c>
      <c r="CD39" s="5" t="s">
        <v>395</v>
      </c>
      <c r="CE39" s="5" t="s">
        <v>395</v>
      </c>
      <c r="CF39" s="5" t="s">
        <v>395</v>
      </c>
      <c r="CG39" s="5" t="s">
        <v>395</v>
      </c>
      <c r="CH39" s="5" t="s">
        <v>395</v>
      </c>
      <c r="CI39" s="220" t="s">
        <v>395</v>
      </c>
      <c r="CJ39" s="220" t="s">
        <v>395</v>
      </c>
      <c r="CK39" s="220" t="s">
        <v>395</v>
      </c>
      <c r="CL39" s="220" t="s">
        <v>395</v>
      </c>
      <c r="CM39" s="220" t="s">
        <v>395</v>
      </c>
      <c r="CN39" s="220" t="s">
        <v>395</v>
      </c>
      <c r="CO39" s="220" t="s">
        <v>395</v>
      </c>
      <c r="CP39" s="220" t="s">
        <v>395</v>
      </c>
      <c r="CQ39" s="57" t="s">
        <v>395</v>
      </c>
      <c r="CR39" s="57" t="s">
        <v>395</v>
      </c>
      <c r="CS39" s="57" t="s">
        <v>395</v>
      </c>
      <c r="CT39" s="57" t="s">
        <v>395</v>
      </c>
      <c r="CU39" s="57" t="s">
        <v>395</v>
      </c>
      <c r="CV39" s="57" t="s">
        <v>395</v>
      </c>
      <c r="CW39" s="57" t="s">
        <v>395</v>
      </c>
      <c r="CX39" s="57" t="s">
        <v>395</v>
      </c>
      <c r="CY39" s="59" t="s">
        <v>395</v>
      </c>
    </row>
    <row r="40" spans="1:112" x14ac:dyDescent="0.3">
      <c r="A40" s="157" t="s">
        <v>4</v>
      </c>
      <c r="B40" s="157" t="s">
        <v>4</v>
      </c>
      <c r="C40" s="205" t="s">
        <v>20</v>
      </c>
      <c r="D40" s="157"/>
      <c r="E40" s="221"/>
      <c r="F40" s="221"/>
      <c r="G40" s="221"/>
      <c r="H40" s="1">
        <v>2023</v>
      </c>
      <c r="I40" s="216" t="s">
        <v>33</v>
      </c>
      <c r="J40" s="216">
        <v>10</v>
      </c>
      <c r="K40" s="155">
        <v>0.58601509733811841</v>
      </c>
      <c r="L40" s="155" t="s">
        <v>395</v>
      </c>
      <c r="M40" s="91">
        <v>0.58841197462331485</v>
      </c>
      <c r="N40" s="56">
        <v>1.3981017049960351</v>
      </c>
      <c r="O40" s="56">
        <v>4.3969518239492462</v>
      </c>
      <c r="P40" s="56">
        <v>3.7151070578905636</v>
      </c>
      <c r="Q40" s="56">
        <v>9.6532414750198257</v>
      </c>
      <c r="R40" s="56">
        <v>9.3263778747026187</v>
      </c>
      <c r="S40" s="56">
        <v>2.3216494845360827</v>
      </c>
      <c r="T40" s="55">
        <v>31.399841395717683</v>
      </c>
      <c r="U40" s="5">
        <f t="shared" si="31"/>
        <v>236.21178416375858</v>
      </c>
      <c r="V40" s="226">
        <f>0.5*0.024781919111816</f>
        <v>1.2390959555908E-2</v>
      </c>
      <c r="W40" s="227">
        <v>0.12186451116148768</v>
      </c>
      <c r="X40" s="226">
        <v>6.0208463498658847E-2</v>
      </c>
      <c r="Y40" s="227">
        <v>0.15515227409827095</v>
      </c>
      <c r="Z40" s="226">
        <f>0.5*0.024781919111816</f>
        <v>1.2390959555908E-2</v>
      </c>
      <c r="AA40" s="226">
        <v>3.0925645922536729E-2</v>
      </c>
      <c r="AB40" s="226">
        <v>3.5719134341939456E-2</v>
      </c>
      <c r="AC40" s="81">
        <f>0.5*0.049563838223632</f>
        <v>2.4781919111816E-2</v>
      </c>
      <c r="AD40" s="228">
        <v>0.40387002902289365</v>
      </c>
      <c r="AE40" s="24">
        <f t="shared" si="24"/>
        <v>0.41626098857880167</v>
      </c>
      <c r="AF40" s="248" t="s">
        <v>395</v>
      </c>
      <c r="AG40" s="249" t="s">
        <v>395</v>
      </c>
      <c r="AH40" s="218">
        <v>7.9481619052821308</v>
      </c>
      <c r="AI40" s="211">
        <f t="shared" ref="AI40:AI47" si="39">0.5*0.33</f>
        <v>0.16500000000000001</v>
      </c>
      <c r="AJ40" s="211">
        <v>9.906957265891006E-2</v>
      </c>
      <c r="AK40" s="211">
        <f t="shared" ref="AK40:AK47" si="40">0.5*0.15</f>
        <v>7.4999999999999997E-2</v>
      </c>
      <c r="AL40" s="211">
        <f t="shared" si="34"/>
        <v>7.4999999999999997E-2</v>
      </c>
      <c r="AM40" s="211">
        <f>0.5*0.15</f>
        <v>7.4999999999999997E-2</v>
      </c>
      <c r="AN40" s="211">
        <v>0.43540722128147702</v>
      </c>
      <c r="AO40" s="211">
        <f>0.5*0.15</f>
        <v>7.4999999999999997E-2</v>
      </c>
      <c r="AP40" s="211" t="s">
        <v>395</v>
      </c>
      <c r="AQ40" s="211">
        <v>0.25556708727080713</v>
      </c>
      <c r="AR40" s="211">
        <f t="shared" si="28"/>
        <v>7.4999999999999997E-2</v>
      </c>
      <c r="AS40" s="211">
        <v>0.72657089273684017</v>
      </c>
      <c r="AT40" s="211">
        <v>0.48748201962819315</v>
      </c>
      <c r="AU40" s="211">
        <v>0.23016696709819556</v>
      </c>
      <c r="AV40" s="211">
        <f t="shared" si="29"/>
        <v>7.4999999999999997E-2</v>
      </c>
      <c r="AW40" s="211">
        <f t="shared" si="32"/>
        <v>7.4999999999999997E-2</v>
      </c>
      <c r="AX40" s="211">
        <f t="shared" si="38"/>
        <v>7.4999999999999997E-2</v>
      </c>
      <c r="AY40" s="211">
        <f t="shared" si="36"/>
        <v>7.4999999999999997E-2</v>
      </c>
      <c r="AZ40" s="211">
        <f t="shared" si="36"/>
        <v>7.4999999999999997E-2</v>
      </c>
      <c r="BA40" s="211">
        <f t="shared" si="36"/>
        <v>7.4999999999999997E-2</v>
      </c>
      <c r="BB40" s="211">
        <f t="shared" si="36"/>
        <v>7.4999999999999997E-2</v>
      </c>
      <c r="BC40" s="204" t="s">
        <v>395</v>
      </c>
      <c r="BD40" s="204" t="s">
        <v>395</v>
      </c>
      <c r="BE40" s="204" t="s">
        <v>395</v>
      </c>
      <c r="BF40" s="204" t="s">
        <v>395</v>
      </c>
      <c r="BG40" s="204" t="s">
        <v>395</v>
      </c>
      <c r="BH40" s="204" t="s">
        <v>395</v>
      </c>
      <c r="BI40" s="204" t="s">
        <v>395</v>
      </c>
      <c r="BJ40" s="219" t="s">
        <v>395</v>
      </c>
      <c r="BK40" s="221" t="s">
        <v>395</v>
      </c>
      <c r="BL40" s="248" t="s">
        <v>395</v>
      </c>
      <c r="BM40" s="156" t="s">
        <v>395</v>
      </c>
      <c r="BN40" s="156">
        <v>26</v>
      </c>
      <c r="BO40" s="5" t="s">
        <v>395</v>
      </c>
      <c r="BP40" s="5" t="s">
        <v>395</v>
      </c>
      <c r="BQ40" s="5" t="s">
        <v>395</v>
      </c>
      <c r="BR40" s="5" t="s">
        <v>395</v>
      </c>
      <c r="BS40" s="5" t="s">
        <v>395</v>
      </c>
      <c r="BT40" s="5" t="s">
        <v>395</v>
      </c>
      <c r="BU40" s="5" t="s">
        <v>395</v>
      </c>
      <c r="BV40" s="5" t="s">
        <v>395</v>
      </c>
      <c r="BW40" s="5" t="s">
        <v>395</v>
      </c>
      <c r="BX40" s="5" t="s">
        <v>395</v>
      </c>
      <c r="BY40" s="5" t="s">
        <v>395</v>
      </c>
      <c r="BZ40" s="5" t="s">
        <v>395</v>
      </c>
      <c r="CA40" s="5" t="s">
        <v>395</v>
      </c>
      <c r="CB40" s="5" t="s">
        <v>395</v>
      </c>
      <c r="CC40" s="5" t="s">
        <v>395</v>
      </c>
      <c r="CD40" s="5" t="s">
        <v>395</v>
      </c>
      <c r="CE40" s="5" t="s">
        <v>395</v>
      </c>
      <c r="CF40" s="5" t="s">
        <v>395</v>
      </c>
      <c r="CG40" s="5" t="s">
        <v>395</v>
      </c>
      <c r="CH40" s="5" t="s">
        <v>395</v>
      </c>
      <c r="CI40" s="220" t="s">
        <v>395</v>
      </c>
      <c r="CJ40" s="220" t="s">
        <v>395</v>
      </c>
      <c r="CK40" s="220" t="s">
        <v>395</v>
      </c>
      <c r="CL40" s="220" t="s">
        <v>395</v>
      </c>
      <c r="CM40" s="220" t="s">
        <v>395</v>
      </c>
      <c r="CN40" s="220" t="s">
        <v>395</v>
      </c>
      <c r="CO40" s="220" t="s">
        <v>395</v>
      </c>
      <c r="CP40" s="220" t="s">
        <v>395</v>
      </c>
      <c r="CQ40" s="57" t="s">
        <v>395</v>
      </c>
      <c r="CR40" s="57" t="s">
        <v>395</v>
      </c>
      <c r="CS40" s="57" t="s">
        <v>395</v>
      </c>
      <c r="CT40" s="57" t="s">
        <v>395</v>
      </c>
      <c r="CU40" s="57" t="s">
        <v>395</v>
      </c>
      <c r="CV40" s="57" t="s">
        <v>395</v>
      </c>
      <c r="CW40" s="57" t="s">
        <v>395</v>
      </c>
      <c r="CX40" s="57" t="s">
        <v>395</v>
      </c>
      <c r="CY40" s="59" t="s">
        <v>395</v>
      </c>
    </row>
    <row r="41" spans="1:112" x14ac:dyDescent="0.3">
      <c r="A41" s="158" t="s">
        <v>28</v>
      </c>
      <c r="B41" s="158" t="s">
        <v>28</v>
      </c>
      <c r="C41" s="205" t="s">
        <v>20</v>
      </c>
      <c r="D41" s="158"/>
      <c r="E41" s="221"/>
      <c r="F41" s="221"/>
      <c r="G41" s="221"/>
      <c r="H41" s="1">
        <v>2023</v>
      </c>
      <c r="I41" s="216" t="s">
        <v>33</v>
      </c>
      <c r="J41" s="216">
        <v>10</v>
      </c>
      <c r="K41" s="155">
        <v>0.49582021863469222</v>
      </c>
      <c r="L41" s="155" t="s">
        <v>395</v>
      </c>
      <c r="M41" s="91">
        <v>0.14100828450191957</v>
      </c>
      <c r="N41" s="91">
        <v>0.36782683370377856</v>
      </c>
      <c r="O41" s="56">
        <v>1.6967316629622149</v>
      </c>
      <c r="P41" s="56">
        <v>1.7767023641139623</v>
      </c>
      <c r="Q41" s="56">
        <v>4.7879268539098812</v>
      </c>
      <c r="R41" s="56">
        <v>3.9360577894524149</v>
      </c>
      <c r="S41" s="56">
        <v>1.1728227924833299</v>
      </c>
      <c r="T41" s="55">
        <v>13.879076581127501</v>
      </c>
      <c r="U41" s="5">
        <f t="shared" si="31"/>
        <v>122.04397644713902</v>
      </c>
      <c r="V41" s="226">
        <f>0.5*0.0252576278035967</f>
        <v>1.262881390179835E-2</v>
      </c>
      <c r="W41" s="226">
        <v>6.0478701419786174E-2</v>
      </c>
      <c r="X41" s="226">
        <v>4.3923421137664176E-2</v>
      </c>
      <c r="Y41" s="226">
        <v>6.635884412198248E-2</v>
      </c>
      <c r="Z41" s="226">
        <v>1.6452219108257584E-2</v>
      </c>
      <c r="AA41" s="226">
        <v>2.1858461904596269E-2</v>
      </c>
      <c r="AB41" s="226">
        <v>2.0486490962501221E-2</v>
      </c>
      <c r="AC41" s="81">
        <f>0.5*0.0505152556071934</f>
        <v>2.5257627803596701E-2</v>
      </c>
      <c r="AD41" s="228">
        <v>0.22955813865478791</v>
      </c>
      <c r="AE41" s="24">
        <f t="shared" si="24"/>
        <v>0.22573473344832867</v>
      </c>
      <c r="AF41" s="64" t="s">
        <v>395</v>
      </c>
      <c r="AG41" s="249" t="s">
        <v>395</v>
      </c>
      <c r="AH41" s="218">
        <v>6.2683171476770161</v>
      </c>
      <c r="AI41" s="211">
        <f t="shared" si="39"/>
        <v>0.16500000000000001</v>
      </c>
      <c r="AJ41" s="211">
        <f>0.5*0.21</f>
        <v>0.105</v>
      </c>
      <c r="AK41" s="211">
        <f t="shared" si="40"/>
        <v>7.4999999999999997E-2</v>
      </c>
      <c r="AL41" s="211">
        <f t="shared" si="34"/>
        <v>7.4999999999999997E-2</v>
      </c>
      <c r="AM41" s="211">
        <v>5.6338242222526182E-2</v>
      </c>
      <c r="AN41" s="211">
        <v>0.27059681758081433</v>
      </c>
      <c r="AO41" s="211">
        <f>0.5*0.15</f>
        <v>7.4999999999999997E-2</v>
      </c>
      <c r="AP41" s="211" t="s">
        <v>395</v>
      </c>
      <c r="AQ41" s="211">
        <v>0.17834617547379142</v>
      </c>
      <c r="AR41" s="211">
        <f t="shared" si="28"/>
        <v>7.4999999999999997E-2</v>
      </c>
      <c r="AS41" s="211">
        <v>0.1305946898889041</v>
      </c>
      <c r="AT41" s="211">
        <f>0.5*0.48</f>
        <v>0.24</v>
      </c>
      <c r="AU41" s="211">
        <f t="shared" ref="AU41:AU46" si="41">0.5*0.52</f>
        <v>0.26</v>
      </c>
      <c r="AV41" s="211">
        <f t="shared" si="29"/>
        <v>7.4999999999999997E-2</v>
      </c>
      <c r="AW41" s="211">
        <f t="shared" si="32"/>
        <v>7.4999999999999997E-2</v>
      </c>
      <c r="AX41" s="211">
        <f t="shared" si="38"/>
        <v>7.4999999999999997E-2</v>
      </c>
      <c r="AY41" s="211">
        <f t="shared" si="36"/>
        <v>7.4999999999999997E-2</v>
      </c>
      <c r="AZ41" s="211">
        <f t="shared" si="36"/>
        <v>7.4999999999999997E-2</v>
      </c>
      <c r="BA41" s="211">
        <f t="shared" si="36"/>
        <v>7.4999999999999997E-2</v>
      </c>
      <c r="BB41" s="211">
        <f t="shared" si="36"/>
        <v>7.4999999999999997E-2</v>
      </c>
      <c r="BC41" s="204" t="s">
        <v>395</v>
      </c>
      <c r="BD41" s="204" t="s">
        <v>395</v>
      </c>
      <c r="BE41" s="204" t="s">
        <v>395</v>
      </c>
      <c r="BF41" s="204" t="s">
        <v>395</v>
      </c>
      <c r="BG41" s="204" t="s">
        <v>395</v>
      </c>
      <c r="BH41" s="204" t="s">
        <v>395</v>
      </c>
      <c r="BI41" s="204" t="s">
        <v>395</v>
      </c>
      <c r="BJ41" s="219" t="s">
        <v>395</v>
      </c>
      <c r="BK41" s="221" t="s">
        <v>395</v>
      </c>
      <c r="BL41" s="64" t="s">
        <v>395</v>
      </c>
      <c r="BM41" s="156" t="s">
        <v>395</v>
      </c>
      <c r="BN41" s="156">
        <v>60</v>
      </c>
      <c r="BO41" s="5" t="s">
        <v>395</v>
      </c>
      <c r="BP41" s="5" t="s">
        <v>395</v>
      </c>
      <c r="BQ41" s="5" t="s">
        <v>395</v>
      </c>
      <c r="BR41" s="5" t="s">
        <v>395</v>
      </c>
      <c r="BS41" s="5" t="s">
        <v>395</v>
      </c>
      <c r="BT41" s="5" t="s">
        <v>395</v>
      </c>
      <c r="BU41" s="5" t="s">
        <v>395</v>
      </c>
      <c r="BV41" s="5" t="s">
        <v>395</v>
      </c>
      <c r="BW41" s="5" t="s">
        <v>395</v>
      </c>
      <c r="BX41" s="5" t="s">
        <v>395</v>
      </c>
      <c r="BY41" s="5" t="s">
        <v>395</v>
      </c>
      <c r="BZ41" s="5" t="s">
        <v>395</v>
      </c>
      <c r="CA41" s="5" t="s">
        <v>395</v>
      </c>
      <c r="CB41" s="5" t="s">
        <v>395</v>
      </c>
      <c r="CC41" s="5" t="s">
        <v>395</v>
      </c>
      <c r="CD41" s="5" t="s">
        <v>395</v>
      </c>
      <c r="CE41" s="5" t="s">
        <v>395</v>
      </c>
      <c r="CF41" s="5" t="s">
        <v>395</v>
      </c>
      <c r="CG41" s="5" t="s">
        <v>395</v>
      </c>
      <c r="CH41" s="5" t="s">
        <v>395</v>
      </c>
      <c r="CI41" s="220" t="s">
        <v>395</v>
      </c>
      <c r="CJ41" s="220" t="s">
        <v>395</v>
      </c>
      <c r="CK41" s="220" t="s">
        <v>395</v>
      </c>
      <c r="CL41" s="220" t="s">
        <v>395</v>
      </c>
      <c r="CM41" s="220" t="s">
        <v>395</v>
      </c>
      <c r="CN41" s="220" t="s">
        <v>395</v>
      </c>
      <c r="CO41" s="220" t="s">
        <v>395</v>
      </c>
      <c r="CP41" s="220" t="s">
        <v>395</v>
      </c>
      <c r="CQ41" s="57" t="s">
        <v>395</v>
      </c>
      <c r="CR41" s="57" t="s">
        <v>395</v>
      </c>
      <c r="CS41" s="57" t="s">
        <v>395</v>
      </c>
      <c r="CT41" s="57" t="s">
        <v>395</v>
      </c>
      <c r="CU41" s="57" t="s">
        <v>395</v>
      </c>
      <c r="CV41" s="57" t="s">
        <v>395</v>
      </c>
      <c r="CW41" s="57" t="s">
        <v>395</v>
      </c>
      <c r="CX41" s="57" t="s">
        <v>395</v>
      </c>
      <c r="CY41" s="59" t="s">
        <v>395</v>
      </c>
    </row>
    <row r="42" spans="1:112" x14ac:dyDescent="0.3">
      <c r="A42" s="158" t="s">
        <v>166</v>
      </c>
      <c r="B42" s="158" t="s">
        <v>166</v>
      </c>
      <c r="C42" s="205" t="s">
        <v>20</v>
      </c>
      <c r="D42" s="158"/>
      <c r="E42" s="221"/>
      <c r="F42" s="221"/>
      <c r="G42" s="221"/>
      <c r="H42" s="1">
        <v>2023</v>
      </c>
      <c r="I42" s="216" t="s">
        <v>33</v>
      </c>
      <c r="J42" s="216">
        <v>10</v>
      </c>
      <c r="K42" s="155">
        <v>0.44128997617375354</v>
      </c>
      <c r="L42" s="155" t="s">
        <v>395</v>
      </c>
      <c r="M42" s="224">
        <v>3.2157842157842197E-2</v>
      </c>
      <c r="N42" s="91">
        <v>0.40673826173826177</v>
      </c>
      <c r="O42" s="56">
        <v>2.5939310689310693</v>
      </c>
      <c r="P42" s="56">
        <v>2.4604145854145854</v>
      </c>
      <c r="Q42" s="56">
        <v>5.9498501498501497</v>
      </c>
      <c r="R42" s="56">
        <v>5.1003696303696309</v>
      </c>
      <c r="S42" s="56">
        <v>1.5844605394605393</v>
      </c>
      <c r="T42" s="55">
        <v>18.127922077922079</v>
      </c>
      <c r="U42" s="5">
        <f t="shared" si="31"/>
        <v>177.519412839989</v>
      </c>
      <c r="V42" s="226">
        <f>0.5*0.024975024975025</f>
        <v>1.24875124875125E-2</v>
      </c>
      <c r="W42" s="226">
        <v>3.1750337063829286E-2</v>
      </c>
      <c r="X42" s="226">
        <v>2.6677600545741555E-2</v>
      </c>
      <c r="Y42" s="226">
        <v>1.8364535212560058E-2</v>
      </c>
      <c r="Z42" s="226">
        <v>1.3535739471882186E-2</v>
      </c>
      <c r="AA42" s="226">
        <f>0.5*0.03996003996004</f>
        <v>1.9980019980020001E-2</v>
      </c>
      <c r="AB42" s="226">
        <f>0.5*0.024975024975025</f>
        <v>1.24875124875125E-2</v>
      </c>
      <c r="AC42" s="81">
        <f>0.5*0.04995004995005</f>
        <v>2.4975024975025E-2</v>
      </c>
      <c r="AD42" s="81">
        <v>9.0328212294013083E-2</v>
      </c>
      <c r="AE42" s="24">
        <f t="shared" si="24"/>
        <v>0.12174751777717589</v>
      </c>
      <c r="AF42" s="64" t="s">
        <v>395</v>
      </c>
      <c r="AG42" s="249" t="s">
        <v>395</v>
      </c>
      <c r="AH42" s="218">
        <v>5.2129577464788737</v>
      </c>
      <c r="AI42" s="211">
        <f t="shared" si="39"/>
        <v>0.16500000000000001</v>
      </c>
      <c r="AJ42" s="211">
        <v>0.17085446009389677</v>
      </c>
      <c r="AK42" s="211">
        <f t="shared" si="40"/>
        <v>7.4999999999999997E-2</v>
      </c>
      <c r="AL42" s="211">
        <f t="shared" si="34"/>
        <v>7.4999999999999997E-2</v>
      </c>
      <c r="AM42" s="211">
        <f>0.5*0.15</f>
        <v>7.4999999999999997E-2</v>
      </c>
      <c r="AN42" s="211">
        <v>0.67988732394366225</v>
      </c>
      <c r="AO42" s="211">
        <v>6.1690140845070442E-2</v>
      </c>
      <c r="AP42" s="211" t="s">
        <v>395</v>
      </c>
      <c r="AQ42" s="211">
        <v>0.37710798122065736</v>
      </c>
      <c r="AR42" s="211">
        <f t="shared" si="28"/>
        <v>7.4999999999999997E-2</v>
      </c>
      <c r="AS42" s="211">
        <v>0.41348356807511749</v>
      </c>
      <c r="AT42" s="211">
        <v>0.18627230046948362</v>
      </c>
      <c r="AU42" s="211">
        <f t="shared" si="41"/>
        <v>0.26</v>
      </c>
      <c r="AV42" s="211">
        <f t="shared" si="29"/>
        <v>7.4999999999999997E-2</v>
      </c>
      <c r="AW42" s="211">
        <f t="shared" si="32"/>
        <v>7.4999999999999997E-2</v>
      </c>
      <c r="AX42" s="211">
        <f t="shared" si="38"/>
        <v>7.4999999999999997E-2</v>
      </c>
      <c r="AY42" s="211">
        <f t="shared" si="36"/>
        <v>7.4999999999999997E-2</v>
      </c>
      <c r="AZ42" s="211">
        <f t="shared" si="36"/>
        <v>7.4999999999999997E-2</v>
      </c>
      <c r="BA42" s="211">
        <f t="shared" si="36"/>
        <v>7.4999999999999997E-2</v>
      </c>
      <c r="BB42" s="211">
        <f t="shared" si="36"/>
        <v>7.4999999999999997E-2</v>
      </c>
      <c r="BC42" s="204" t="s">
        <v>395</v>
      </c>
      <c r="BD42" s="204" t="s">
        <v>395</v>
      </c>
      <c r="BE42" s="204" t="s">
        <v>395</v>
      </c>
      <c r="BF42" s="204" t="s">
        <v>395</v>
      </c>
      <c r="BG42" s="204" t="s">
        <v>395</v>
      </c>
      <c r="BH42" s="204" t="s">
        <v>395</v>
      </c>
      <c r="BI42" s="204" t="s">
        <v>395</v>
      </c>
      <c r="BJ42" s="219" t="s">
        <v>395</v>
      </c>
      <c r="BK42" s="221" t="s">
        <v>395</v>
      </c>
      <c r="BL42" s="64" t="s">
        <v>395</v>
      </c>
      <c r="BM42" s="156" t="s">
        <v>395</v>
      </c>
      <c r="BN42" s="156">
        <v>79</v>
      </c>
      <c r="BO42" s="5" t="s">
        <v>395</v>
      </c>
      <c r="BP42" s="5" t="s">
        <v>395</v>
      </c>
      <c r="BQ42" s="5" t="s">
        <v>395</v>
      </c>
      <c r="BR42" s="5" t="s">
        <v>395</v>
      </c>
      <c r="BS42" s="5" t="s">
        <v>395</v>
      </c>
      <c r="BT42" s="5" t="s">
        <v>395</v>
      </c>
      <c r="BU42" s="5" t="s">
        <v>395</v>
      </c>
      <c r="BV42" s="5" t="s">
        <v>395</v>
      </c>
      <c r="BW42" s="5" t="s">
        <v>395</v>
      </c>
      <c r="BX42" s="5" t="s">
        <v>395</v>
      </c>
      <c r="BY42" s="5" t="s">
        <v>395</v>
      </c>
      <c r="BZ42" s="5" t="s">
        <v>395</v>
      </c>
      <c r="CA42" s="5" t="s">
        <v>395</v>
      </c>
      <c r="CB42" s="5" t="s">
        <v>395</v>
      </c>
      <c r="CC42" s="5" t="s">
        <v>395</v>
      </c>
      <c r="CD42" s="5" t="s">
        <v>395</v>
      </c>
      <c r="CE42" s="5" t="s">
        <v>395</v>
      </c>
      <c r="CF42" s="5" t="s">
        <v>395</v>
      </c>
      <c r="CG42" s="5" t="s">
        <v>395</v>
      </c>
      <c r="CH42" s="5" t="s">
        <v>395</v>
      </c>
      <c r="CI42" s="220" t="s">
        <v>395</v>
      </c>
      <c r="CJ42" s="220" t="s">
        <v>395</v>
      </c>
      <c r="CK42" s="220" t="s">
        <v>395</v>
      </c>
      <c r="CL42" s="220" t="s">
        <v>395</v>
      </c>
      <c r="CM42" s="220" t="s">
        <v>395</v>
      </c>
      <c r="CN42" s="220" t="s">
        <v>395</v>
      </c>
      <c r="CO42" s="220" t="s">
        <v>395</v>
      </c>
      <c r="CP42" s="220" t="s">
        <v>395</v>
      </c>
      <c r="CQ42" s="57" t="s">
        <v>395</v>
      </c>
      <c r="CR42" s="57" t="s">
        <v>395</v>
      </c>
      <c r="CS42" s="57" t="s">
        <v>395</v>
      </c>
      <c r="CT42" s="57" t="s">
        <v>395</v>
      </c>
      <c r="CU42" s="57" t="s">
        <v>395</v>
      </c>
      <c r="CV42" s="57" t="s">
        <v>395</v>
      </c>
      <c r="CW42" s="57" t="s">
        <v>395</v>
      </c>
      <c r="CX42" s="57" t="s">
        <v>395</v>
      </c>
      <c r="CY42" s="59" t="s">
        <v>395</v>
      </c>
    </row>
    <row r="43" spans="1:112" x14ac:dyDescent="0.3">
      <c r="A43" s="157" t="s">
        <v>7</v>
      </c>
      <c r="B43" s="157" t="s">
        <v>7</v>
      </c>
      <c r="C43" s="205" t="s">
        <v>20</v>
      </c>
      <c r="D43" s="157"/>
      <c r="E43" s="221"/>
      <c r="F43" s="221"/>
      <c r="G43" s="221"/>
      <c r="H43" s="1">
        <v>2023</v>
      </c>
      <c r="I43" s="216" t="s">
        <v>33</v>
      </c>
      <c r="J43" s="216">
        <v>10</v>
      </c>
      <c r="K43" s="155">
        <v>0.52812820767527036</v>
      </c>
      <c r="L43" s="155" t="s">
        <v>395</v>
      </c>
      <c r="M43" s="224">
        <f>0.5*0.04</f>
        <v>0.02</v>
      </c>
      <c r="N43" s="91">
        <v>0.1671370568429392</v>
      </c>
      <c r="O43" s="91">
        <v>0.75572885719944538</v>
      </c>
      <c r="P43" s="91">
        <v>0.84384036442859967</v>
      </c>
      <c r="Q43" s="56">
        <v>2.0887799564270151</v>
      </c>
      <c r="R43" s="56">
        <v>1.7742424242424242</v>
      </c>
      <c r="S43" s="91">
        <v>0.61489403842345014</v>
      </c>
      <c r="T43" s="56">
        <v>6.244622697563873</v>
      </c>
      <c r="U43" s="5">
        <f t="shared" si="31"/>
        <v>51.320704464893353</v>
      </c>
      <c r="V43" s="226">
        <f>0.5*0.0247573776985542</f>
        <v>1.2378688849277101E-2</v>
      </c>
      <c r="W43" s="226">
        <v>4.6994580917299945E-2</v>
      </c>
      <c r="X43" s="226">
        <v>3.6402669525009E-2</v>
      </c>
      <c r="Y43" s="226">
        <v>3.7186949837162302E-2</v>
      </c>
      <c r="Z43" s="226">
        <v>1.4516155372622517E-2</v>
      </c>
      <c r="AA43" s="226">
        <f>0.5*0.0396118043176867</f>
        <v>1.9805902158843348E-2</v>
      </c>
      <c r="AB43" s="226">
        <f>0.5*0.0247573776985542</f>
        <v>1.2378688849277101E-2</v>
      </c>
      <c r="AC43" s="81">
        <f>0.5*0.0495147553971083</f>
        <v>2.4757377698554149E-2</v>
      </c>
      <c r="AD43" s="228">
        <v>0.13510035565209377</v>
      </c>
      <c r="AE43" s="24">
        <f t="shared" si="24"/>
        <v>0.16514748013686878</v>
      </c>
      <c r="AF43" s="248" t="s">
        <v>395</v>
      </c>
      <c r="AG43" s="249" t="s">
        <v>395</v>
      </c>
      <c r="AH43" s="218">
        <v>4.5638737073880398</v>
      </c>
      <c r="AI43" s="211">
        <f t="shared" si="39"/>
        <v>0.16500000000000001</v>
      </c>
      <c r="AJ43" s="211">
        <v>0.10091875384998494</v>
      </c>
      <c r="AK43" s="211">
        <f t="shared" si="40"/>
        <v>7.4999999999999997E-2</v>
      </c>
      <c r="AL43" s="211">
        <f t="shared" si="34"/>
        <v>7.4999999999999997E-2</v>
      </c>
      <c r="AM43" s="211">
        <v>0.11810115466782005</v>
      </c>
      <c r="AN43" s="218">
        <v>1.467896040577203</v>
      </c>
      <c r="AO43" s="211">
        <v>0.40710887429717307</v>
      </c>
      <c r="AP43" s="211" t="s">
        <v>395</v>
      </c>
      <c r="AQ43" s="218">
        <v>1.2227290003800837</v>
      </c>
      <c r="AR43" s="211">
        <f t="shared" si="28"/>
        <v>7.4999999999999997E-2</v>
      </c>
      <c r="AS43" s="218">
        <v>1.5006618697492762</v>
      </c>
      <c r="AT43" s="211">
        <v>0.26864048021599235</v>
      </c>
      <c r="AU43" s="211">
        <f t="shared" si="41"/>
        <v>0.26</v>
      </c>
      <c r="AV43" s="211">
        <f t="shared" si="29"/>
        <v>7.4999999999999997E-2</v>
      </c>
      <c r="AW43" s="211">
        <f t="shared" si="32"/>
        <v>7.4999999999999997E-2</v>
      </c>
      <c r="AX43" s="211">
        <f t="shared" si="38"/>
        <v>7.4999999999999997E-2</v>
      </c>
      <c r="AY43" s="211">
        <f t="shared" si="36"/>
        <v>7.4999999999999997E-2</v>
      </c>
      <c r="AZ43" s="211">
        <f t="shared" si="36"/>
        <v>7.4999999999999997E-2</v>
      </c>
      <c r="BA43" s="211">
        <f t="shared" si="36"/>
        <v>7.4999999999999997E-2</v>
      </c>
      <c r="BB43" s="211">
        <f t="shared" si="36"/>
        <v>7.4999999999999997E-2</v>
      </c>
      <c r="BC43" s="204" t="s">
        <v>395</v>
      </c>
      <c r="BD43" s="204" t="s">
        <v>395</v>
      </c>
      <c r="BE43" s="204" t="s">
        <v>395</v>
      </c>
      <c r="BF43" s="204" t="s">
        <v>395</v>
      </c>
      <c r="BG43" s="204" t="s">
        <v>395</v>
      </c>
      <c r="BH43" s="204" t="s">
        <v>395</v>
      </c>
      <c r="BI43" s="204" t="s">
        <v>395</v>
      </c>
      <c r="BJ43" s="219" t="s">
        <v>395</v>
      </c>
      <c r="BK43" s="221" t="s">
        <v>395</v>
      </c>
      <c r="BL43" s="248" t="s">
        <v>395</v>
      </c>
      <c r="BM43" s="156" t="s">
        <v>395</v>
      </c>
      <c r="BN43" s="156">
        <v>94</v>
      </c>
      <c r="BO43" s="5" t="s">
        <v>395</v>
      </c>
      <c r="BP43" s="5" t="s">
        <v>395</v>
      </c>
      <c r="BQ43" s="5" t="s">
        <v>395</v>
      </c>
      <c r="BR43" s="5" t="s">
        <v>395</v>
      </c>
      <c r="BS43" s="5" t="s">
        <v>395</v>
      </c>
      <c r="BT43" s="5" t="s">
        <v>395</v>
      </c>
      <c r="BU43" s="5" t="s">
        <v>395</v>
      </c>
      <c r="BV43" s="5" t="s">
        <v>395</v>
      </c>
      <c r="BW43" s="5" t="s">
        <v>395</v>
      </c>
      <c r="BX43" s="5" t="s">
        <v>395</v>
      </c>
      <c r="BY43" s="5" t="s">
        <v>395</v>
      </c>
      <c r="BZ43" s="5" t="s">
        <v>395</v>
      </c>
      <c r="CA43" s="5" t="s">
        <v>395</v>
      </c>
      <c r="CB43" s="5" t="s">
        <v>395</v>
      </c>
      <c r="CC43" s="5" t="s">
        <v>395</v>
      </c>
      <c r="CD43" s="5" t="s">
        <v>395</v>
      </c>
      <c r="CE43" s="5" t="s">
        <v>395</v>
      </c>
      <c r="CF43" s="5" t="s">
        <v>395</v>
      </c>
      <c r="CG43" s="5" t="s">
        <v>395</v>
      </c>
      <c r="CH43" s="5" t="s">
        <v>395</v>
      </c>
      <c r="CI43" s="220" t="s">
        <v>395</v>
      </c>
      <c r="CJ43" s="220" t="s">
        <v>395</v>
      </c>
      <c r="CK43" s="220" t="s">
        <v>395</v>
      </c>
      <c r="CL43" s="220" t="s">
        <v>395</v>
      </c>
      <c r="CM43" s="220" t="s">
        <v>395</v>
      </c>
      <c r="CN43" s="220" t="s">
        <v>395</v>
      </c>
      <c r="CO43" s="220" t="s">
        <v>395</v>
      </c>
      <c r="CP43" s="220" t="s">
        <v>395</v>
      </c>
      <c r="CQ43" s="57" t="s">
        <v>395</v>
      </c>
      <c r="CR43" s="57" t="s">
        <v>395</v>
      </c>
      <c r="CS43" s="57" t="s">
        <v>395</v>
      </c>
      <c r="CT43" s="57" t="s">
        <v>395</v>
      </c>
      <c r="CU43" s="57" t="s">
        <v>395</v>
      </c>
      <c r="CV43" s="57" t="s">
        <v>395</v>
      </c>
      <c r="CW43" s="57" t="s">
        <v>395</v>
      </c>
      <c r="CX43" s="57" t="s">
        <v>395</v>
      </c>
      <c r="CY43" s="59" t="s">
        <v>395</v>
      </c>
    </row>
    <row r="44" spans="1:112" x14ac:dyDescent="0.3">
      <c r="A44" s="157" t="s">
        <v>30</v>
      </c>
      <c r="B44" s="157" t="s">
        <v>30</v>
      </c>
      <c r="C44" s="205" t="s">
        <v>20</v>
      </c>
      <c r="D44" s="157"/>
      <c r="E44" s="221"/>
      <c r="F44" s="221"/>
      <c r="G44" s="221"/>
      <c r="H44" s="1">
        <v>2023</v>
      </c>
      <c r="I44" s="216" t="s">
        <v>33</v>
      </c>
      <c r="J44" s="216">
        <v>10</v>
      </c>
      <c r="K44" s="155">
        <v>0.47031455446547749</v>
      </c>
      <c r="L44" s="155" t="s">
        <v>395</v>
      </c>
      <c r="M44" s="224">
        <v>2.536487166582788E-2</v>
      </c>
      <c r="N44" s="91">
        <v>0.30374937091092097</v>
      </c>
      <c r="O44" s="56">
        <v>2.583558127830901</v>
      </c>
      <c r="P44" s="91">
        <v>2.2323603422244589</v>
      </c>
      <c r="Q44" s="56">
        <v>5.6638147961751386</v>
      </c>
      <c r="R44" s="56">
        <v>5.5147760442878706</v>
      </c>
      <c r="S44" s="91">
        <v>1.4661399094111727</v>
      </c>
      <c r="T44" s="55">
        <v>17.78976346250629</v>
      </c>
      <c r="U44" s="5">
        <f t="shared" si="31"/>
        <v>165.39359639808671</v>
      </c>
      <c r="V44" s="226">
        <f>0.5*0.0251635631605435</f>
        <v>1.2581781580271749E-2</v>
      </c>
      <c r="W44" s="226">
        <v>2.0786767107938153E-2</v>
      </c>
      <c r="X44" s="226">
        <v>2.4148781325745345E-2</v>
      </c>
      <c r="Y44" s="226">
        <v>2.1735955546429046E-2</v>
      </c>
      <c r="Z44" s="226">
        <f>0.5*0.0251635631605435</f>
        <v>1.2581781580271749E-2</v>
      </c>
      <c r="AA44" s="226">
        <f>0.5*0.0402617010568697</f>
        <v>2.013085052843485E-2</v>
      </c>
      <c r="AB44" s="226">
        <f>0.5*0.0251635631605435</f>
        <v>1.2581781580271749E-2</v>
      </c>
      <c r="AC44" s="81">
        <f>0.5*0.0503271263210871</f>
        <v>2.5163563160543551E-2</v>
      </c>
      <c r="AD44" s="81">
        <v>6.667150398011254E-2</v>
      </c>
      <c r="AE44" s="24">
        <f t="shared" si="24"/>
        <v>0.11196591766909089</v>
      </c>
      <c r="AF44" s="248" t="s">
        <v>395</v>
      </c>
      <c r="AG44" s="249" t="s">
        <v>395</v>
      </c>
      <c r="AH44" s="218">
        <v>5.7285741848350371</v>
      </c>
      <c r="AI44" s="211">
        <f t="shared" si="39"/>
        <v>0.16500000000000001</v>
      </c>
      <c r="AJ44" s="211">
        <v>9.7459643706990798E-2</v>
      </c>
      <c r="AK44" s="211">
        <f t="shared" si="40"/>
        <v>7.4999999999999997E-2</v>
      </c>
      <c r="AL44" s="211">
        <f t="shared" si="34"/>
        <v>7.4999999999999997E-2</v>
      </c>
      <c r="AM44" s="211">
        <v>5.3199562672840699E-2</v>
      </c>
      <c r="AN44" s="211">
        <v>0.73876133513409226</v>
      </c>
      <c r="AO44" s="211">
        <v>0.17499517653868418</v>
      </c>
      <c r="AP44" s="211" t="s">
        <v>395</v>
      </c>
      <c r="AQ44" s="211">
        <v>0.57401762171200721</v>
      </c>
      <c r="AR44" s="211">
        <f t="shared" si="28"/>
        <v>7.4999999999999997E-2</v>
      </c>
      <c r="AS44" s="211">
        <v>0.75417068621776329</v>
      </c>
      <c r="AT44" s="211">
        <f>0.5*0.48</f>
        <v>0.24</v>
      </c>
      <c r="AU44" s="211">
        <f t="shared" si="41"/>
        <v>0.26</v>
      </c>
      <c r="AV44" s="211">
        <f t="shared" si="29"/>
        <v>7.4999999999999997E-2</v>
      </c>
      <c r="AW44" s="211">
        <f t="shared" si="32"/>
        <v>7.4999999999999997E-2</v>
      </c>
      <c r="AX44" s="211">
        <f t="shared" si="38"/>
        <v>7.4999999999999997E-2</v>
      </c>
      <c r="AY44" s="211">
        <f t="shared" si="36"/>
        <v>7.4999999999999997E-2</v>
      </c>
      <c r="AZ44" s="211">
        <f t="shared" si="36"/>
        <v>7.4999999999999997E-2</v>
      </c>
      <c r="BA44" s="211">
        <f t="shared" si="36"/>
        <v>7.4999999999999997E-2</v>
      </c>
      <c r="BB44" s="211">
        <f t="shared" si="36"/>
        <v>7.4999999999999997E-2</v>
      </c>
      <c r="BC44" s="204" t="s">
        <v>395</v>
      </c>
      <c r="BD44" s="204" t="s">
        <v>395</v>
      </c>
      <c r="BE44" s="204" t="s">
        <v>395</v>
      </c>
      <c r="BF44" s="204" t="s">
        <v>395</v>
      </c>
      <c r="BG44" s="204" t="s">
        <v>395</v>
      </c>
      <c r="BH44" s="204" t="s">
        <v>395</v>
      </c>
      <c r="BI44" s="204" t="s">
        <v>395</v>
      </c>
      <c r="BJ44" s="219" t="s">
        <v>395</v>
      </c>
      <c r="BK44" s="221" t="s">
        <v>395</v>
      </c>
      <c r="BL44" s="248" t="s">
        <v>395</v>
      </c>
      <c r="BM44" s="156" t="s">
        <v>395</v>
      </c>
      <c r="BN44" s="156">
        <v>78</v>
      </c>
      <c r="BO44" s="5" t="s">
        <v>395</v>
      </c>
      <c r="BP44" s="5" t="s">
        <v>395</v>
      </c>
      <c r="BQ44" s="5" t="s">
        <v>395</v>
      </c>
      <c r="BR44" s="5" t="s">
        <v>395</v>
      </c>
      <c r="BS44" s="5" t="s">
        <v>395</v>
      </c>
      <c r="BT44" s="5" t="s">
        <v>395</v>
      </c>
      <c r="BU44" s="5" t="s">
        <v>395</v>
      </c>
      <c r="BV44" s="5" t="s">
        <v>395</v>
      </c>
      <c r="BW44" s="5" t="s">
        <v>395</v>
      </c>
      <c r="BX44" s="5" t="s">
        <v>395</v>
      </c>
      <c r="BY44" s="5" t="s">
        <v>395</v>
      </c>
      <c r="BZ44" s="5" t="s">
        <v>395</v>
      </c>
      <c r="CA44" s="5" t="s">
        <v>395</v>
      </c>
      <c r="CB44" s="5" t="s">
        <v>395</v>
      </c>
      <c r="CC44" s="5" t="s">
        <v>395</v>
      </c>
      <c r="CD44" s="5" t="s">
        <v>395</v>
      </c>
      <c r="CE44" s="5" t="s">
        <v>395</v>
      </c>
      <c r="CF44" s="5" t="s">
        <v>395</v>
      </c>
      <c r="CG44" s="5" t="s">
        <v>395</v>
      </c>
      <c r="CH44" s="5" t="s">
        <v>395</v>
      </c>
      <c r="CI44" s="220" t="s">
        <v>395</v>
      </c>
      <c r="CJ44" s="220" t="s">
        <v>395</v>
      </c>
      <c r="CK44" s="220" t="s">
        <v>395</v>
      </c>
      <c r="CL44" s="220" t="s">
        <v>395</v>
      </c>
      <c r="CM44" s="220" t="s">
        <v>395</v>
      </c>
      <c r="CN44" s="220" t="s">
        <v>395</v>
      </c>
      <c r="CO44" s="220" t="s">
        <v>395</v>
      </c>
      <c r="CP44" s="220" t="s">
        <v>395</v>
      </c>
      <c r="CQ44" s="57" t="s">
        <v>395</v>
      </c>
      <c r="CR44" s="57" t="s">
        <v>395</v>
      </c>
      <c r="CS44" s="57" t="s">
        <v>395</v>
      </c>
      <c r="CT44" s="57" t="s">
        <v>395</v>
      </c>
      <c r="CU44" s="57" t="s">
        <v>395</v>
      </c>
      <c r="CV44" s="57" t="s">
        <v>395</v>
      </c>
      <c r="CW44" s="57" t="s">
        <v>395</v>
      </c>
      <c r="CX44" s="57" t="s">
        <v>395</v>
      </c>
      <c r="CY44" s="59" t="s">
        <v>395</v>
      </c>
    </row>
    <row r="45" spans="1:112" x14ac:dyDescent="0.3">
      <c r="A45" s="160" t="s">
        <v>8</v>
      </c>
      <c r="B45" s="160" t="s">
        <v>8</v>
      </c>
      <c r="C45" s="205" t="s">
        <v>20</v>
      </c>
      <c r="D45" s="160"/>
      <c r="E45" s="221"/>
      <c r="F45" s="221"/>
      <c r="G45" s="221"/>
      <c r="H45" s="1">
        <v>2023</v>
      </c>
      <c r="I45" s="216" t="s">
        <v>33</v>
      </c>
      <c r="J45" s="216">
        <v>10</v>
      </c>
      <c r="K45" s="155">
        <v>0.49073427155073501</v>
      </c>
      <c r="L45" s="155" t="s">
        <v>395</v>
      </c>
      <c r="M45" s="224">
        <f>0.5*0.039</f>
        <v>1.95E-2</v>
      </c>
      <c r="N45" s="224">
        <v>3.6500049198071434E-2</v>
      </c>
      <c r="O45" s="91">
        <v>0.35328643117189806</v>
      </c>
      <c r="P45" s="91">
        <v>0.35817179966545309</v>
      </c>
      <c r="Q45" s="56">
        <v>1.810075765030011</v>
      </c>
      <c r="R45" s="56">
        <v>1.3076847387582407</v>
      </c>
      <c r="S45" s="91">
        <v>0.59681196497097311</v>
      </c>
      <c r="T45" s="56">
        <v>4.4625307487946468</v>
      </c>
      <c r="U45" s="5">
        <f t="shared" si="31"/>
        <v>42.017229977617788</v>
      </c>
      <c r="V45" s="226">
        <f>0.5*0.0245990357177999</f>
        <v>1.2299517858899951E-2</v>
      </c>
      <c r="W45" s="226">
        <v>2.2334521406286688E-2</v>
      </c>
      <c r="X45" s="226">
        <v>2.2893643044079089E-2</v>
      </c>
      <c r="Y45" s="226">
        <v>1.3704410630372151E-2</v>
      </c>
      <c r="Z45" s="226">
        <v>1.4148897910877397E-2</v>
      </c>
      <c r="AA45" s="226">
        <f>0.5*0.0393584571484798</f>
        <v>1.9679228574239899E-2</v>
      </c>
      <c r="AB45" s="226">
        <f>0.5*0.0245990357177999</f>
        <v>1.2299517858899951E-2</v>
      </c>
      <c r="AC45" s="81">
        <f>0.5*0.0491980714355997</f>
        <v>2.4599035717799849E-2</v>
      </c>
      <c r="AD45" s="81">
        <v>7.3081472991615326E-2</v>
      </c>
      <c r="AE45" s="24">
        <f t="shared" si="24"/>
        <v>0.10321083937277772</v>
      </c>
      <c r="AF45" s="249" t="s">
        <v>395</v>
      </c>
      <c r="AG45" s="249" t="s">
        <v>395</v>
      </c>
      <c r="AH45" s="218">
        <v>4.7247870351132342</v>
      </c>
      <c r="AI45" s="211">
        <f t="shared" si="39"/>
        <v>0.16500000000000001</v>
      </c>
      <c r="AJ45" s="211">
        <f>0.5*0.21</f>
        <v>0.105</v>
      </c>
      <c r="AK45" s="211">
        <f t="shared" si="40"/>
        <v>7.4999999999999997E-2</v>
      </c>
      <c r="AL45" s="211">
        <f t="shared" si="34"/>
        <v>7.4999999999999997E-2</v>
      </c>
      <c r="AM45" s="211">
        <f>0.5*0.15</f>
        <v>7.4999999999999997E-2</v>
      </c>
      <c r="AN45" s="211">
        <v>0.84695616039891941</v>
      </c>
      <c r="AO45" s="211">
        <v>0.10326199875337626</v>
      </c>
      <c r="AP45" s="211" t="s">
        <v>395</v>
      </c>
      <c r="AQ45" s="211">
        <v>0.36719994459450095</v>
      </c>
      <c r="AR45" s="211">
        <f t="shared" si="28"/>
        <v>7.4999999999999997E-2</v>
      </c>
      <c r="AS45" s="211">
        <v>0.26733153265461596</v>
      </c>
      <c r="AT45" s="211">
        <f>0.5*0.48</f>
        <v>0.24</v>
      </c>
      <c r="AU45" s="211">
        <f t="shared" si="41"/>
        <v>0.26</v>
      </c>
      <c r="AV45" s="211">
        <f t="shared" si="29"/>
        <v>7.4999999999999997E-2</v>
      </c>
      <c r="AW45" s="211">
        <f t="shared" si="32"/>
        <v>7.4999999999999997E-2</v>
      </c>
      <c r="AX45" s="211">
        <f t="shared" si="38"/>
        <v>7.4999999999999997E-2</v>
      </c>
      <c r="AY45" s="211">
        <f t="shared" si="36"/>
        <v>7.4999999999999997E-2</v>
      </c>
      <c r="AZ45" s="211">
        <f t="shared" si="36"/>
        <v>7.4999999999999997E-2</v>
      </c>
      <c r="BA45" s="211">
        <f t="shared" si="36"/>
        <v>7.4999999999999997E-2</v>
      </c>
      <c r="BB45" s="211">
        <f t="shared" si="36"/>
        <v>7.4999999999999997E-2</v>
      </c>
      <c r="BC45" s="204" t="s">
        <v>395</v>
      </c>
      <c r="BD45" s="204" t="s">
        <v>395</v>
      </c>
      <c r="BE45" s="204" t="s">
        <v>395</v>
      </c>
      <c r="BF45" s="204" t="s">
        <v>395</v>
      </c>
      <c r="BG45" s="204" t="s">
        <v>395</v>
      </c>
      <c r="BH45" s="204" t="s">
        <v>395</v>
      </c>
      <c r="BI45" s="204" t="s">
        <v>395</v>
      </c>
      <c r="BJ45" s="219" t="s">
        <v>395</v>
      </c>
      <c r="BK45" s="221" t="s">
        <v>395</v>
      </c>
      <c r="BL45" s="249" t="s">
        <v>395</v>
      </c>
      <c r="BM45" s="156" t="s">
        <v>395</v>
      </c>
      <c r="BN45" s="156">
        <v>88</v>
      </c>
      <c r="BO45" s="5" t="s">
        <v>395</v>
      </c>
      <c r="BP45" s="5" t="s">
        <v>395</v>
      </c>
      <c r="BQ45" s="5" t="s">
        <v>395</v>
      </c>
      <c r="BR45" s="5" t="s">
        <v>395</v>
      </c>
      <c r="BS45" s="5" t="s">
        <v>395</v>
      </c>
      <c r="BT45" s="5" t="s">
        <v>395</v>
      </c>
      <c r="BU45" s="5" t="s">
        <v>395</v>
      </c>
      <c r="BV45" s="5" t="s">
        <v>395</v>
      </c>
      <c r="BW45" s="5" t="s">
        <v>395</v>
      </c>
      <c r="BX45" s="5" t="s">
        <v>395</v>
      </c>
      <c r="BY45" s="5" t="s">
        <v>395</v>
      </c>
      <c r="BZ45" s="5" t="s">
        <v>395</v>
      </c>
      <c r="CA45" s="5" t="s">
        <v>395</v>
      </c>
      <c r="CB45" s="5" t="s">
        <v>395</v>
      </c>
      <c r="CC45" s="5" t="s">
        <v>395</v>
      </c>
      <c r="CD45" s="5" t="s">
        <v>395</v>
      </c>
      <c r="CE45" s="5" t="s">
        <v>395</v>
      </c>
      <c r="CF45" s="5" t="s">
        <v>395</v>
      </c>
      <c r="CG45" s="5" t="s">
        <v>395</v>
      </c>
      <c r="CH45" s="5" t="s">
        <v>395</v>
      </c>
      <c r="CI45" s="220" t="s">
        <v>395</v>
      </c>
      <c r="CJ45" s="220" t="s">
        <v>395</v>
      </c>
      <c r="CK45" s="220" t="s">
        <v>395</v>
      </c>
      <c r="CL45" s="220" t="s">
        <v>395</v>
      </c>
      <c r="CM45" s="220" t="s">
        <v>395</v>
      </c>
      <c r="CN45" s="220" t="s">
        <v>395</v>
      </c>
      <c r="CO45" s="220" t="s">
        <v>395</v>
      </c>
      <c r="CP45" s="220" t="s">
        <v>395</v>
      </c>
      <c r="CQ45" s="57" t="s">
        <v>395</v>
      </c>
      <c r="CR45" s="57" t="s">
        <v>395</v>
      </c>
      <c r="CS45" s="57" t="s">
        <v>395</v>
      </c>
      <c r="CT45" s="57" t="s">
        <v>395</v>
      </c>
      <c r="CU45" s="57" t="s">
        <v>395</v>
      </c>
      <c r="CV45" s="57" t="s">
        <v>395</v>
      </c>
      <c r="CW45" s="57" t="s">
        <v>395</v>
      </c>
      <c r="CX45" s="57" t="s">
        <v>395</v>
      </c>
      <c r="CY45" s="59" t="s">
        <v>395</v>
      </c>
    </row>
    <row r="46" spans="1:112" x14ac:dyDescent="0.3">
      <c r="A46" s="160" t="s">
        <v>21</v>
      </c>
      <c r="B46" s="160" t="s">
        <v>21</v>
      </c>
      <c r="C46" s="205" t="s">
        <v>20</v>
      </c>
      <c r="D46" s="160"/>
      <c r="E46" s="221"/>
      <c r="F46" s="221"/>
      <c r="G46" s="221"/>
      <c r="H46" s="1">
        <v>2023</v>
      </c>
      <c r="I46" s="216" t="s">
        <v>33</v>
      </c>
      <c r="J46" s="216">
        <v>10</v>
      </c>
      <c r="K46" s="155">
        <v>0.49688394812196196</v>
      </c>
      <c r="L46" s="155" t="s">
        <v>395</v>
      </c>
      <c r="M46" s="224">
        <f>0.5*0.04</f>
        <v>0.02</v>
      </c>
      <c r="N46" s="224">
        <v>5.659572332095171E-2</v>
      </c>
      <c r="O46" s="91">
        <v>0.98138239132617211</v>
      </c>
      <c r="P46" s="91">
        <v>0.79734966368838467</v>
      </c>
      <c r="Q46" s="56">
        <v>4.6509085433189439</v>
      </c>
      <c r="R46" s="56">
        <v>3.8155004517618711</v>
      </c>
      <c r="S46" s="56">
        <v>1.5738078506174078</v>
      </c>
      <c r="T46" s="55">
        <v>11.875544624033731</v>
      </c>
      <c r="U46" s="5">
        <f t="shared" si="31"/>
        <v>111.67793810096332</v>
      </c>
      <c r="V46" s="226">
        <f>0.5*0.0250978817387812</f>
        <v>1.2548940869390599E-2</v>
      </c>
      <c r="W46" s="226">
        <v>7.0297747817661238E-2</v>
      </c>
      <c r="X46" s="226">
        <v>3.5220648851170627E-2</v>
      </c>
      <c r="Y46" s="226">
        <v>2.4850217981654446E-2</v>
      </c>
      <c r="Z46" s="226">
        <v>1.4382840428653456E-2</v>
      </c>
      <c r="AA46" s="226">
        <v>1.6653400402930407E-2</v>
      </c>
      <c r="AB46" s="226">
        <f>0.5*0.0250978817387812</f>
        <v>1.2548940869390599E-2</v>
      </c>
      <c r="AC46" s="81">
        <f>0.5*0.0501957634775625</f>
        <v>2.509788173878125E-2</v>
      </c>
      <c r="AD46" s="228">
        <v>0.16140485548207018</v>
      </c>
      <c r="AE46" s="24">
        <f t="shared" si="24"/>
        <v>0.17211989679219789</v>
      </c>
      <c r="AF46" s="249" t="s">
        <v>395</v>
      </c>
      <c r="AG46" s="249" t="s">
        <v>395</v>
      </c>
      <c r="AH46" s="222">
        <v>19.138014723727856</v>
      </c>
      <c r="AI46" s="211">
        <f t="shared" si="39"/>
        <v>0.16500000000000001</v>
      </c>
      <c r="AJ46" s="211">
        <f>0.5*0.21</f>
        <v>0.105</v>
      </c>
      <c r="AK46" s="211">
        <f t="shared" si="40"/>
        <v>7.4999999999999997E-2</v>
      </c>
      <c r="AL46" s="211">
        <f t="shared" si="34"/>
        <v>7.4999999999999997E-2</v>
      </c>
      <c r="AM46" s="211">
        <v>5.0144270959738967E-2</v>
      </c>
      <c r="AN46" s="218">
        <v>1.4337836744599952</v>
      </c>
      <c r="AO46" s="211">
        <v>0.49959550198204034</v>
      </c>
      <c r="AP46" s="211" t="s">
        <v>395</v>
      </c>
      <c r="AQ46" s="211">
        <v>0.66514305746568514</v>
      </c>
      <c r="AR46" s="211">
        <f t="shared" si="28"/>
        <v>7.4999999999999997E-2</v>
      </c>
      <c r="AS46" s="211">
        <v>0.54766334978291942</v>
      </c>
      <c r="AT46" s="211">
        <f>0.5*0.48</f>
        <v>0.24</v>
      </c>
      <c r="AU46" s="211">
        <f t="shared" si="41"/>
        <v>0.26</v>
      </c>
      <c r="AV46" s="211">
        <f t="shared" si="29"/>
        <v>7.4999999999999997E-2</v>
      </c>
      <c r="AW46" s="211">
        <f t="shared" si="32"/>
        <v>7.4999999999999997E-2</v>
      </c>
      <c r="AX46" s="211">
        <f t="shared" si="38"/>
        <v>7.4999999999999997E-2</v>
      </c>
      <c r="AY46" s="211">
        <f t="shared" si="36"/>
        <v>7.4999999999999997E-2</v>
      </c>
      <c r="AZ46" s="211">
        <f t="shared" si="36"/>
        <v>7.4999999999999997E-2</v>
      </c>
      <c r="BA46" s="211">
        <f t="shared" si="36"/>
        <v>7.4999999999999997E-2</v>
      </c>
      <c r="BB46" s="211">
        <f t="shared" si="36"/>
        <v>7.4999999999999997E-2</v>
      </c>
      <c r="BC46" s="204" t="s">
        <v>395</v>
      </c>
      <c r="BD46" s="204" t="s">
        <v>395</v>
      </c>
      <c r="BE46" s="204" t="s">
        <v>395</v>
      </c>
      <c r="BF46" s="204" t="s">
        <v>395</v>
      </c>
      <c r="BG46" s="204" t="s">
        <v>395</v>
      </c>
      <c r="BH46" s="204" t="s">
        <v>395</v>
      </c>
      <c r="BI46" s="204" t="s">
        <v>395</v>
      </c>
      <c r="BJ46" s="219" t="s">
        <v>395</v>
      </c>
      <c r="BK46" s="221" t="s">
        <v>395</v>
      </c>
      <c r="BL46" s="249" t="s">
        <v>395</v>
      </c>
      <c r="BM46" s="156" t="s">
        <v>395</v>
      </c>
      <c r="BN46" s="156">
        <v>69</v>
      </c>
      <c r="BO46" s="5" t="s">
        <v>395</v>
      </c>
      <c r="BP46" s="5" t="s">
        <v>395</v>
      </c>
      <c r="BQ46" s="5" t="s">
        <v>395</v>
      </c>
      <c r="BR46" s="5" t="s">
        <v>395</v>
      </c>
      <c r="BS46" s="5" t="s">
        <v>395</v>
      </c>
      <c r="BT46" s="5" t="s">
        <v>395</v>
      </c>
      <c r="BU46" s="5" t="s">
        <v>395</v>
      </c>
      <c r="BV46" s="5" t="s">
        <v>395</v>
      </c>
      <c r="BW46" s="5" t="s">
        <v>395</v>
      </c>
      <c r="BX46" s="5" t="s">
        <v>395</v>
      </c>
      <c r="BY46" s="5" t="s">
        <v>395</v>
      </c>
      <c r="BZ46" s="5" t="s">
        <v>395</v>
      </c>
      <c r="CA46" s="5" t="s">
        <v>395</v>
      </c>
      <c r="CB46" s="5" t="s">
        <v>395</v>
      </c>
      <c r="CC46" s="5" t="s">
        <v>395</v>
      </c>
      <c r="CD46" s="5" t="s">
        <v>395</v>
      </c>
      <c r="CE46" s="5" t="s">
        <v>395</v>
      </c>
      <c r="CF46" s="5" t="s">
        <v>395</v>
      </c>
      <c r="CG46" s="5" t="s">
        <v>395</v>
      </c>
      <c r="CH46" s="5" t="s">
        <v>395</v>
      </c>
      <c r="CI46" s="220" t="s">
        <v>395</v>
      </c>
      <c r="CJ46" s="220" t="s">
        <v>395</v>
      </c>
      <c r="CK46" s="220" t="s">
        <v>395</v>
      </c>
      <c r="CL46" s="220" t="s">
        <v>395</v>
      </c>
      <c r="CM46" s="220" t="s">
        <v>395</v>
      </c>
      <c r="CN46" s="220" t="s">
        <v>395</v>
      </c>
      <c r="CO46" s="220" t="s">
        <v>395</v>
      </c>
      <c r="CP46" s="220" t="s">
        <v>395</v>
      </c>
      <c r="CQ46" s="57" t="s">
        <v>395</v>
      </c>
      <c r="CR46" s="57" t="s">
        <v>395</v>
      </c>
      <c r="CS46" s="57" t="s">
        <v>395</v>
      </c>
      <c r="CT46" s="57" t="s">
        <v>395</v>
      </c>
      <c r="CU46" s="57" t="s">
        <v>395</v>
      </c>
      <c r="CV46" s="57" t="s">
        <v>395</v>
      </c>
      <c r="CW46" s="57" t="s">
        <v>395</v>
      </c>
      <c r="CX46" s="57" t="s">
        <v>395</v>
      </c>
      <c r="CY46" s="59" t="s">
        <v>395</v>
      </c>
    </row>
    <row r="47" spans="1:112" x14ac:dyDescent="0.3">
      <c r="A47" s="160" t="s">
        <v>22</v>
      </c>
      <c r="B47" s="160" t="s">
        <v>22</v>
      </c>
      <c r="C47" s="205" t="s">
        <v>20</v>
      </c>
      <c r="D47" s="160"/>
      <c r="E47" s="221"/>
      <c r="F47" s="221"/>
      <c r="G47" s="245">
        <v>45202</v>
      </c>
      <c r="H47" s="1">
        <v>2023</v>
      </c>
      <c r="I47" s="216" t="s">
        <v>33</v>
      </c>
      <c r="J47" s="216">
        <v>10</v>
      </c>
      <c r="K47" s="155">
        <v>0.54957826924355802</v>
      </c>
      <c r="L47" s="155" t="s">
        <v>395</v>
      </c>
      <c r="M47" s="91">
        <v>0.72300858152448266</v>
      </c>
      <c r="N47" s="56">
        <v>1.6222766279656742</v>
      </c>
      <c r="O47" s="56">
        <v>6.1812670368500759</v>
      </c>
      <c r="P47" s="56">
        <v>5.5446138313982845</v>
      </c>
      <c r="Q47" s="55">
        <v>13.578566380615852</v>
      </c>
      <c r="R47" s="55">
        <v>11.905350832912671</v>
      </c>
      <c r="S47" s="56">
        <v>2.9672488642099952</v>
      </c>
      <c r="T47" s="55">
        <v>42.522332155477031</v>
      </c>
      <c r="U47" s="5">
        <f t="shared" si="31"/>
        <v>336.41903613633639</v>
      </c>
      <c r="V47" s="226">
        <f>0.5*0.0252397778899546</f>
        <v>1.2619888944977301E-2</v>
      </c>
      <c r="W47" s="227">
        <v>0.20335794646501792</v>
      </c>
      <c r="X47" s="226">
        <v>8.2162996702411478E-2</v>
      </c>
      <c r="Y47" s="227">
        <v>0.17063134613776623</v>
      </c>
      <c r="Z47" s="226">
        <v>1.4524230176377072E-2</v>
      </c>
      <c r="AA47" s="226">
        <v>1.9537240636599222E-2</v>
      </c>
      <c r="AB47" s="226">
        <v>1.8040714007108938E-2</v>
      </c>
      <c r="AC47" s="81">
        <f>0.5*0.0504795557799091</f>
        <v>2.5239777889954549E-2</v>
      </c>
      <c r="AD47" s="228">
        <v>0.5082544741252808</v>
      </c>
      <c r="AE47" s="24">
        <f t="shared" si="24"/>
        <v>0.50635013289388109</v>
      </c>
      <c r="AF47" s="249" t="s">
        <v>395</v>
      </c>
      <c r="AG47" s="249" t="s">
        <v>395</v>
      </c>
      <c r="AH47" s="218">
        <v>4.8773646711980998</v>
      </c>
      <c r="AI47" s="211">
        <f t="shared" si="39"/>
        <v>0.16500000000000001</v>
      </c>
      <c r="AJ47" s="211">
        <v>9.1297464035159565E-2</v>
      </c>
      <c r="AK47" s="211">
        <f t="shared" si="40"/>
        <v>7.4999999999999997E-2</v>
      </c>
      <c r="AL47" s="211">
        <f t="shared" si="34"/>
        <v>7.4999999999999997E-2</v>
      </c>
      <c r="AM47" s="211">
        <v>8.912728960227119E-2</v>
      </c>
      <c r="AN47" s="211">
        <v>0.27225452460895921</v>
      </c>
      <c r="AO47" s="211">
        <v>0.12799934485300141</v>
      </c>
      <c r="AP47" s="211" t="s">
        <v>395</v>
      </c>
      <c r="AQ47" s="211">
        <v>0.33308765320885547</v>
      </c>
      <c r="AR47" s="211">
        <f t="shared" si="28"/>
        <v>7.4999999999999997E-2</v>
      </c>
      <c r="AS47" s="211">
        <v>0.70859607457756679</v>
      </c>
      <c r="AT47" s="211">
        <v>0.4833892938061311</v>
      </c>
      <c r="AU47" s="211">
        <v>0.35380667703982754</v>
      </c>
      <c r="AV47" s="211">
        <f t="shared" si="29"/>
        <v>7.4999999999999997E-2</v>
      </c>
      <c r="AW47" s="211">
        <f t="shared" si="32"/>
        <v>7.4999999999999997E-2</v>
      </c>
      <c r="AX47" s="211">
        <f t="shared" si="38"/>
        <v>7.4999999999999997E-2</v>
      </c>
      <c r="AY47" s="211">
        <f t="shared" si="36"/>
        <v>7.4999999999999997E-2</v>
      </c>
      <c r="AZ47" s="211">
        <f t="shared" si="36"/>
        <v>7.4999999999999997E-2</v>
      </c>
      <c r="BA47" s="211">
        <f t="shared" si="36"/>
        <v>7.4999999999999997E-2</v>
      </c>
      <c r="BB47" s="211">
        <f t="shared" si="36"/>
        <v>7.4999999999999997E-2</v>
      </c>
      <c r="BC47" s="204" t="s">
        <v>395</v>
      </c>
      <c r="BD47" s="204" t="s">
        <v>395</v>
      </c>
      <c r="BE47" s="204" t="s">
        <v>395</v>
      </c>
      <c r="BF47" s="204" t="s">
        <v>395</v>
      </c>
      <c r="BG47" s="204" t="s">
        <v>395</v>
      </c>
      <c r="BH47" s="204" t="s">
        <v>395</v>
      </c>
      <c r="BI47" s="204" t="s">
        <v>395</v>
      </c>
      <c r="BJ47" s="219" t="s">
        <v>395</v>
      </c>
      <c r="BK47" s="221" t="s">
        <v>395</v>
      </c>
      <c r="BL47" s="249" t="s">
        <v>395</v>
      </c>
      <c r="BM47" s="156" t="s">
        <v>395</v>
      </c>
      <c r="BN47" s="156">
        <v>120</v>
      </c>
      <c r="BO47" s="5" t="s">
        <v>395</v>
      </c>
      <c r="BP47" s="5" t="s">
        <v>395</v>
      </c>
      <c r="BQ47" s="5" t="s">
        <v>395</v>
      </c>
      <c r="BR47" s="5" t="s">
        <v>395</v>
      </c>
      <c r="BS47" s="5" t="s">
        <v>395</v>
      </c>
      <c r="BT47" s="5" t="s">
        <v>395</v>
      </c>
      <c r="BU47" s="5" t="s">
        <v>395</v>
      </c>
      <c r="BV47" s="5" t="s">
        <v>395</v>
      </c>
      <c r="BW47" s="5" t="s">
        <v>395</v>
      </c>
      <c r="BX47" s="5" t="s">
        <v>395</v>
      </c>
      <c r="BY47" s="5" t="s">
        <v>395</v>
      </c>
      <c r="BZ47" s="5" t="s">
        <v>395</v>
      </c>
      <c r="CA47" s="5" t="s">
        <v>395</v>
      </c>
      <c r="CB47" s="5" t="s">
        <v>395</v>
      </c>
      <c r="CC47" s="5" t="s">
        <v>395</v>
      </c>
      <c r="CD47" s="5" t="s">
        <v>395</v>
      </c>
      <c r="CE47" s="5" t="s">
        <v>395</v>
      </c>
      <c r="CF47" s="5" t="s">
        <v>395</v>
      </c>
      <c r="CG47" s="5" t="s">
        <v>395</v>
      </c>
      <c r="CH47" s="5" t="s">
        <v>395</v>
      </c>
      <c r="CI47" s="220" t="s">
        <v>395</v>
      </c>
      <c r="CJ47" s="220" t="s">
        <v>395</v>
      </c>
      <c r="CK47" s="220" t="s">
        <v>395</v>
      </c>
      <c r="CL47" s="220" t="s">
        <v>395</v>
      </c>
      <c r="CM47" s="220" t="s">
        <v>395</v>
      </c>
      <c r="CN47" s="220" t="s">
        <v>395</v>
      </c>
      <c r="CO47" s="220" t="s">
        <v>395</v>
      </c>
      <c r="CP47" s="220" t="s">
        <v>395</v>
      </c>
      <c r="CQ47" s="57" t="s">
        <v>395</v>
      </c>
      <c r="CR47" s="57" t="s">
        <v>395</v>
      </c>
      <c r="CS47" s="57" t="s">
        <v>395</v>
      </c>
      <c r="CT47" s="57" t="s">
        <v>395</v>
      </c>
      <c r="CU47" s="57" t="s">
        <v>395</v>
      </c>
      <c r="CV47" s="57" t="s">
        <v>395</v>
      </c>
      <c r="CW47" s="57" t="s">
        <v>395</v>
      </c>
      <c r="CX47" s="57" t="s">
        <v>395</v>
      </c>
      <c r="CY47" s="59" t="s">
        <v>395</v>
      </c>
    </row>
    <row r="48" spans="1:112" x14ac:dyDescent="0.3">
      <c r="A48" s="98" t="s">
        <v>4</v>
      </c>
      <c r="B48" s="98" t="s">
        <v>4</v>
      </c>
      <c r="C48" s="132" t="s">
        <v>20</v>
      </c>
      <c r="D48" s="132"/>
      <c r="E48" s="98"/>
      <c r="F48" s="98"/>
      <c r="G48" s="133">
        <v>44830</v>
      </c>
      <c r="H48" s="119" t="s">
        <v>168</v>
      </c>
      <c r="I48" s="122" t="s">
        <v>33</v>
      </c>
      <c r="J48" s="229" t="s">
        <v>169</v>
      </c>
      <c r="K48" s="124">
        <v>0.59</v>
      </c>
      <c r="L48" s="24" t="s">
        <v>394</v>
      </c>
      <c r="M48" s="24">
        <v>0.49717382738418098</v>
      </c>
      <c r="N48" s="134">
        <v>0.92191002897719065</v>
      </c>
      <c r="O48" s="58">
        <v>2.4129192104836594</v>
      </c>
      <c r="P48" s="58">
        <v>2.4023906092323575</v>
      </c>
      <c r="Q48" s="58">
        <v>5.4948357185078232</v>
      </c>
      <c r="R48" s="58">
        <v>5.2109328724898374</v>
      </c>
      <c r="S48" s="58">
        <v>1.3429902562633833</v>
      </c>
      <c r="T48" s="135">
        <v>18.283152523338433</v>
      </c>
      <c r="U48" s="24">
        <f t="shared" si="31"/>
        <v>134.58272808564473</v>
      </c>
      <c r="V48" s="99">
        <f>0.5*0.026</f>
        <v>1.2999999999999999E-2</v>
      </c>
      <c r="W48" s="99">
        <v>8.1000000000000003E-2</v>
      </c>
      <c r="X48" s="99">
        <v>0.03</v>
      </c>
      <c r="Y48" s="99">
        <v>7.8E-2</v>
      </c>
      <c r="Z48" s="99">
        <f>0.5*0.026</f>
        <v>1.2999999999999999E-2</v>
      </c>
      <c r="AA48" s="99">
        <v>1.4999999999999999E-2</v>
      </c>
      <c r="AB48" s="99">
        <f>0.5*0.026</f>
        <v>1.2999999999999999E-2</v>
      </c>
      <c r="AC48" s="100">
        <f>0.5*0.10275380189067</f>
        <v>5.1376900945335001E-2</v>
      </c>
      <c r="AD48" s="100">
        <v>0.20400000000000001</v>
      </c>
      <c r="AE48" s="24">
        <f t="shared" si="24"/>
        <v>0.22999999999999998</v>
      </c>
      <c r="AF48" s="71">
        <f t="shared" ref="AF48:AF57" si="42">0.5*0.001</f>
        <v>5.0000000000000001E-4</v>
      </c>
      <c r="AG48" s="25" t="s">
        <v>395</v>
      </c>
      <c r="AH48" s="68">
        <v>6.3683631708944031</v>
      </c>
      <c r="AI48" s="72">
        <f t="shared" ref="AI48:AI55" si="43">0.5*0.15</f>
        <v>7.4999999999999997E-2</v>
      </c>
      <c r="AJ48" s="72" t="s">
        <v>395</v>
      </c>
      <c r="AK48" s="134">
        <v>3.771611949447419E-2</v>
      </c>
      <c r="AL48" s="72">
        <f t="shared" ref="AL48:AL55" si="44">0.5*0.2</f>
        <v>0.1</v>
      </c>
      <c r="AM48" s="134">
        <v>0.13227684929778064</v>
      </c>
      <c r="AN48" s="134">
        <v>0.45006941064056094</v>
      </c>
      <c r="AO48" s="134">
        <v>5.9873438260587358E-2</v>
      </c>
      <c r="AP48" s="134" t="s">
        <v>395</v>
      </c>
      <c r="AQ48" s="134">
        <v>0.42066453927560521</v>
      </c>
      <c r="AR48" s="72">
        <f t="shared" ref="AR48:AR66" si="45">0.5*0.1</f>
        <v>0.05</v>
      </c>
      <c r="AS48" s="134">
        <v>0.71437070690680926</v>
      </c>
      <c r="AT48" s="134">
        <v>0.31413272756774291</v>
      </c>
      <c r="AU48" s="134">
        <v>0.28703553464221959</v>
      </c>
      <c r="AV48" s="58">
        <f t="shared" ref="AV48:AW57" si="46">0.5*0.1</f>
        <v>0.05</v>
      </c>
      <c r="AW48" s="58">
        <f t="shared" si="46"/>
        <v>0.05</v>
      </c>
      <c r="AX48" s="58" t="s">
        <v>395</v>
      </c>
      <c r="AY48" s="58" t="s">
        <v>395</v>
      </c>
      <c r="AZ48" s="58" t="s">
        <v>395</v>
      </c>
      <c r="BA48" s="58" t="s">
        <v>395</v>
      </c>
      <c r="BB48" s="58" t="s">
        <v>395</v>
      </c>
      <c r="BC48" s="24" t="s">
        <v>395</v>
      </c>
      <c r="BD48" s="24" t="s">
        <v>395</v>
      </c>
      <c r="BE48" s="24" t="s">
        <v>395</v>
      </c>
      <c r="BF48" s="24" t="s">
        <v>395</v>
      </c>
      <c r="BG48" s="24" t="s">
        <v>395</v>
      </c>
      <c r="BH48" s="24" t="s">
        <v>395</v>
      </c>
      <c r="BI48" s="24" t="s">
        <v>395</v>
      </c>
      <c r="BJ48" s="24" t="s">
        <v>395</v>
      </c>
      <c r="BK48" s="24" t="s">
        <v>395</v>
      </c>
      <c r="BL48" s="24" t="s">
        <v>395</v>
      </c>
      <c r="BM48" s="24" t="s">
        <v>395</v>
      </c>
      <c r="BN48" s="54">
        <v>130</v>
      </c>
      <c r="BO48" s="136" t="s">
        <v>395</v>
      </c>
      <c r="BP48" s="136" t="s">
        <v>395</v>
      </c>
      <c r="BQ48" s="136" t="s">
        <v>395</v>
      </c>
      <c r="BR48" s="136" t="s">
        <v>395</v>
      </c>
      <c r="BS48" s="136" t="s">
        <v>395</v>
      </c>
      <c r="BT48" s="136" t="s">
        <v>395</v>
      </c>
      <c r="BU48" s="136" t="s">
        <v>395</v>
      </c>
      <c r="BV48" s="136" t="s">
        <v>395</v>
      </c>
      <c r="BW48" s="136" t="s">
        <v>395</v>
      </c>
      <c r="BX48" s="136" t="s">
        <v>395</v>
      </c>
      <c r="BY48" s="136" t="s">
        <v>395</v>
      </c>
      <c r="BZ48" s="136" t="s">
        <v>395</v>
      </c>
      <c r="CA48" s="136" t="s">
        <v>395</v>
      </c>
      <c r="CB48" s="136" t="s">
        <v>395</v>
      </c>
      <c r="CC48" s="136" t="s">
        <v>395</v>
      </c>
      <c r="CD48" s="136" t="s">
        <v>395</v>
      </c>
      <c r="CE48" s="136" t="s">
        <v>395</v>
      </c>
      <c r="CF48" s="136" t="s">
        <v>395</v>
      </c>
      <c r="CG48" s="136" t="s">
        <v>395</v>
      </c>
      <c r="CH48" s="136" t="s">
        <v>395</v>
      </c>
      <c r="CI48" s="136" t="s">
        <v>395</v>
      </c>
      <c r="CJ48" s="136" t="s">
        <v>395</v>
      </c>
      <c r="CK48" s="136" t="s">
        <v>395</v>
      </c>
      <c r="CL48" s="136" t="s">
        <v>395</v>
      </c>
      <c r="CM48" s="136" t="s">
        <v>395</v>
      </c>
      <c r="CN48" s="136" t="s">
        <v>395</v>
      </c>
      <c r="CO48" s="136" t="s">
        <v>395</v>
      </c>
      <c r="CP48" s="136" t="s">
        <v>395</v>
      </c>
      <c r="CQ48" s="136" t="s">
        <v>395</v>
      </c>
      <c r="CR48" s="136" t="s">
        <v>395</v>
      </c>
      <c r="CS48" s="136" t="s">
        <v>395</v>
      </c>
      <c r="CT48" s="136" t="s">
        <v>395</v>
      </c>
      <c r="CU48" s="136" t="s">
        <v>395</v>
      </c>
      <c r="CV48" s="136" t="s">
        <v>395</v>
      </c>
      <c r="CW48" s="136" t="s">
        <v>395</v>
      </c>
      <c r="CX48" s="136" t="s">
        <v>395</v>
      </c>
      <c r="CY48" s="137" t="s">
        <v>395</v>
      </c>
      <c r="CZ48" s="136"/>
      <c r="DA48" s="57"/>
      <c r="DB48" s="57"/>
      <c r="DC48" s="57"/>
      <c r="DD48" s="57"/>
      <c r="DE48" s="57"/>
      <c r="DF48" s="57"/>
      <c r="DG48" s="57"/>
      <c r="DH48" s="59"/>
    </row>
    <row r="49" spans="1:112" x14ac:dyDescent="0.3">
      <c r="A49" s="98" t="s">
        <v>30</v>
      </c>
      <c r="B49" s="98" t="s">
        <v>30</v>
      </c>
      <c r="C49" s="132" t="s">
        <v>20</v>
      </c>
      <c r="D49" s="132"/>
      <c r="E49" s="98"/>
      <c r="F49" s="98"/>
      <c r="G49" s="133">
        <v>44816</v>
      </c>
      <c r="H49" s="119" t="s">
        <v>168</v>
      </c>
      <c r="I49" s="122" t="s">
        <v>33</v>
      </c>
      <c r="J49" s="229" t="s">
        <v>169</v>
      </c>
      <c r="K49" s="124">
        <v>0.45</v>
      </c>
      <c r="L49" s="24" t="s">
        <v>394</v>
      </c>
      <c r="M49" s="138">
        <v>5.9579637576055222E-2</v>
      </c>
      <c r="N49" s="134">
        <v>0.65090235661125906</v>
      </c>
      <c r="O49" s="58">
        <v>4.0602601347602025</v>
      </c>
      <c r="P49" s="58">
        <v>3.6162215386167516</v>
      </c>
      <c r="Q49" s="58">
        <v>8.4312165565681987</v>
      </c>
      <c r="R49" s="58">
        <v>7.3147901366171375</v>
      </c>
      <c r="S49" s="58">
        <v>1.9493858338379573</v>
      </c>
      <c r="T49" s="135">
        <v>26.082356194587565</v>
      </c>
      <c r="U49" s="24">
        <f t="shared" si="31"/>
        <v>249.62371839967568</v>
      </c>
      <c r="V49" s="99">
        <f>0.5*0.026</f>
        <v>1.2999999999999999E-2</v>
      </c>
      <c r="W49" s="99">
        <v>5.6000000000000001E-2</v>
      </c>
      <c r="X49" s="99">
        <v>2.1000000000000001E-2</v>
      </c>
      <c r="Y49" s="99">
        <v>1.2999999999999999E-2</v>
      </c>
      <c r="Z49" s="99">
        <v>8.0000000000000002E-3</v>
      </c>
      <c r="AA49" s="99">
        <v>1.2E-2</v>
      </c>
      <c r="AB49" s="99">
        <f>0.5*0.026</f>
        <v>1.2999999999999999E-2</v>
      </c>
      <c r="AC49" s="100">
        <f>0.5*0.104942806170637</f>
        <v>5.2471403085318502E-2</v>
      </c>
      <c r="AD49" s="100">
        <v>0.11</v>
      </c>
      <c r="AE49" s="24">
        <f t="shared" si="24"/>
        <v>0.128</v>
      </c>
      <c r="AF49" s="71">
        <f t="shared" si="42"/>
        <v>5.0000000000000001E-4</v>
      </c>
      <c r="AG49" s="25" t="s">
        <v>395</v>
      </c>
      <c r="AH49" s="101">
        <v>8.4308072170501429</v>
      </c>
      <c r="AI49" s="72">
        <f t="shared" si="43"/>
        <v>7.4999999999999997E-2</v>
      </c>
      <c r="AJ49" s="72" t="s">
        <v>395</v>
      </c>
      <c r="AK49" s="134">
        <f t="shared" ref="AK49:AK66" si="47">0.5*0.1</f>
        <v>0.05</v>
      </c>
      <c r="AL49" s="72">
        <f t="shared" si="44"/>
        <v>0.1</v>
      </c>
      <c r="AM49" s="72">
        <f t="shared" ref="AM49:AM55" si="48">0.5*0.2</f>
        <v>0.1</v>
      </c>
      <c r="AN49" s="101">
        <v>1.0937364521108552</v>
      </c>
      <c r="AO49" s="134">
        <v>0.19568695955150472</v>
      </c>
      <c r="AP49" s="134" t="s">
        <v>395</v>
      </c>
      <c r="AQ49" s="134">
        <v>0.57593979995901001</v>
      </c>
      <c r="AR49" s="72">
        <f t="shared" si="45"/>
        <v>0.05</v>
      </c>
      <c r="AS49" s="134">
        <v>0.53362130229226701</v>
      </c>
      <c r="AT49" s="134">
        <v>0.19847370964895994</v>
      </c>
      <c r="AU49" s="134">
        <v>7.1636862328218337E-2</v>
      </c>
      <c r="AV49" s="134">
        <f t="shared" si="46"/>
        <v>0.05</v>
      </c>
      <c r="AW49" s="134">
        <f t="shared" si="46"/>
        <v>0.05</v>
      </c>
      <c r="AX49" s="134" t="s">
        <v>395</v>
      </c>
      <c r="AY49" s="134" t="s">
        <v>395</v>
      </c>
      <c r="AZ49" s="134" t="s">
        <v>395</v>
      </c>
      <c r="BA49" s="134" t="s">
        <v>395</v>
      </c>
      <c r="BB49" s="134" t="s">
        <v>395</v>
      </c>
      <c r="BC49" s="24" t="s">
        <v>395</v>
      </c>
      <c r="BD49" s="24" t="s">
        <v>395</v>
      </c>
      <c r="BE49" s="24" t="s">
        <v>395</v>
      </c>
      <c r="BF49" s="24" t="s">
        <v>395</v>
      </c>
      <c r="BG49" s="24" t="s">
        <v>395</v>
      </c>
      <c r="BH49" s="24" t="s">
        <v>395</v>
      </c>
      <c r="BI49" s="24" t="s">
        <v>395</v>
      </c>
      <c r="BJ49" s="24" t="s">
        <v>395</v>
      </c>
      <c r="BK49" s="24" t="s">
        <v>395</v>
      </c>
      <c r="BL49" s="24" t="s">
        <v>395</v>
      </c>
      <c r="BM49" s="24" t="s">
        <v>395</v>
      </c>
      <c r="BN49" s="54">
        <v>130</v>
      </c>
      <c r="BO49" s="136" t="s">
        <v>395</v>
      </c>
      <c r="BP49" s="136" t="s">
        <v>395</v>
      </c>
      <c r="BQ49" s="136" t="s">
        <v>395</v>
      </c>
      <c r="BR49" s="136" t="s">
        <v>395</v>
      </c>
      <c r="BS49" s="136" t="s">
        <v>395</v>
      </c>
      <c r="BT49" s="136" t="s">
        <v>395</v>
      </c>
      <c r="BU49" s="136" t="s">
        <v>395</v>
      </c>
      <c r="BV49" s="136" t="s">
        <v>395</v>
      </c>
      <c r="BW49" s="136" t="s">
        <v>395</v>
      </c>
      <c r="BX49" s="136" t="s">
        <v>395</v>
      </c>
      <c r="BY49" s="136" t="s">
        <v>395</v>
      </c>
      <c r="BZ49" s="136" t="s">
        <v>395</v>
      </c>
      <c r="CA49" s="136" t="s">
        <v>395</v>
      </c>
      <c r="CB49" s="136" t="s">
        <v>395</v>
      </c>
      <c r="CC49" s="136" t="s">
        <v>395</v>
      </c>
      <c r="CD49" s="136" t="s">
        <v>395</v>
      </c>
      <c r="CE49" s="136" t="s">
        <v>395</v>
      </c>
      <c r="CF49" s="136" t="s">
        <v>395</v>
      </c>
      <c r="CG49" s="136" t="s">
        <v>395</v>
      </c>
      <c r="CH49" s="136" t="s">
        <v>395</v>
      </c>
      <c r="CI49" s="136" t="s">
        <v>395</v>
      </c>
      <c r="CJ49" s="136" t="s">
        <v>395</v>
      </c>
      <c r="CK49" s="136" t="s">
        <v>395</v>
      </c>
      <c r="CL49" s="136" t="s">
        <v>395</v>
      </c>
      <c r="CM49" s="136" t="s">
        <v>395</v>
      </c>
      <c r="CN49" s="136" t="s">
        <v>395</v>
      </c>
      <c r="CO49" s="136" t="s">
        <v>395</v>
      </c>
      <c r="CP49" s="136" t="s">
        <v>395</v>
      </c>
      <c r="CQ49" s="136" t="s">
        <v>395</v>
      </c>
      <c r="CR49" s="136" t="s">
        <v>395</v>
      </c>
      <c r="CS49" s="136" t="s">
        <v>395</v>
      </c>
      <c r="CT49" s="136" t="s">
        <v>395</v>
      </c>
      <c r="CU49" s="136" t="s">
        <v>395</v>
      </c>
      <c r="CV49" s="136" t="s">
        <v>395</v>
      </c>
      <c r="CW49" s="136" t="s">
        <v>395</v>
      </c>
      <c r="CX49" s="136" t="s">
        <v>395</v>
      </c>
      <c r="CY49" s="137" t="s">
        <v>395</v>
      </c>
      <c r="CZ49" s="136"/>
      <c r="DA49" s="57"/>
      <c r="DB49" s="57"/>
      <c r="DC49" s="57"/>
      <c r="DD49" s="57"/>
      <c r="DE49" s="57"/>
      <c r="DF49" s="57"/>
      <c r="DG49" s="57"/>
      <c r="DH49" s="59"/>
    </row>
    <row r="50" spans="1:112" x14ac:dyDescent="0.3">
      <c r="A50" s="98" t="s">
        <v>9</v>
      </c>
      <c r="B50" s="98" t="s">
        <v>9</v>
      </c>
      <c r="C50" s="132" t="s">
        <v>20</v>
      </c>
      <c r="D50" s="132"/>
      <c r="E50" s="98"/>
      <c r="F50" s="98"/>
      <c r="G50" s="133">
        <v>44812</v>
      </c>
      <c r="H50" s="119" t="s">
        <v>168</v>
      </c>
      <c r="I50" s="122" t="s">
        <v>33</v>
      </c>
      <c r="J50" s="229" t="s">
        <v>169</v>
      </c>
      <c r="K50" s="125">
        <v>0.40654538062810402</v>
      </c>
      <c r="L50" s="24" t="s">
        <v>394</v>
      </c>
      <c r="M50" s="138">
        <v>2.6827180721628111E-2</v>
      </c>
      <c r="N50" s="139">
        <v>6.9193928383241163E-2</v>
      </c>
      <c r="O50" s="134">
        <v>0.39471482019011173</v>
      </c>
      <c r="P50" s="134">
        <v>0.31205216077475051</v>
      </c>
      <c r="Q50" s="58">
        <v>1.4172840050351898</v>
      </c>
      <c r="R50" s="58">
        <v>1.1314538780510361</v>
      </c>
      <c r="S50" s="134">
        <v>0.38045819689115884</v>
      </c>
      <c r="T50" s="101">
        <v>3.7319841700471161</v>
      </c>
      <c r="U50" s="24">
        <f>SUM(M50,N50,O50,Q50,R50,S50)*(5/K50)</f>
        <v>42.060888799039397</v>
      </c>
      <c r="V50" s="99">
        <f>0.5*0.025</f>
        <v>1.2500000000000001E-2</v>
      </c>
      <c r="W50" s="99">
        <v>1.9E-2</v>
      </c>
      <c r="X50" s="99">
        <v>0.01</v>
      </c>
      <c r="Y50" s="99">
        <v>1.4999999999999999E-2</v>
      </c>
      <c r="Z50" s="99">
        <f>0.5*0.025</f>
        <v>1.2500000000000001E-2</v>
      </c>
      <c r="AA50" s="99">
        <f>0.5*0.025</f>
        <v>1.2500000000000001E-2</v>
      </c>
      <c r="AB50" s="99">
        <f>0.5*0.025</f>
        <v>1.2500000000000001E-2</v>
      </c>
      <c r="AC50" s="100">
        <f>0.5*0.102480016396803</f>
        <v>5.12400081984015E-2</v>
      </c>
      <c r="AD50" s="99">
        <v>4.3999999999999997E-2</v>
      </c>
      <c r="AE50" s="24">
        <f t="shared" si="24"/>
        <v>8.1500000000000003E-2</v>
      </c>
      <c r="AF50" s="71">
        <f t="shared" si="42"/>
        <v>5.0000000000000001E-4</v>
      </c>
      <c r="AG50" s="25" t="s">
        <v>395</v>
      </c>
      <c r="AH50" s="101">
        <v>2.1819997068952879</v>
      </c>
      <c r="AI50" s="72">
        <f t="shared" si="43"/>
        <v>7.4999999999999997E-2</v>
      </c>
      <c r="AJ50" s="72" t="s">
        <v>395</v>
      </c>
      <c r="AK50" s="134">
        <f t="shared" si="47"/>
        <v>0.05</v>
      </c>
      <c r="AL50" s="72">
        <f t="shared" si="44"/>
        <v>0.1</v>
      </c>
      <c r="AM50" s="72">
        <f t="shared" si="48"/>
        <v>0.1</v>
      </c>
      <c r="AN50" s="134">
        <v>0.40241445006228466</v>
      </c>
      <c r="AO50" s="134">
        <v>8.479885689162453E-2</v>
      </c>
      <c r="AP50" s="134" t="s">
        <v>395</v>
      </c>
      <c r="AQ50" s="134">
        <v>0.18029603575877476</v>
      </c>
      <c r="AR50" s="72">
        <f t="shared" si="45"/>
        <v>0.05</v>
      </c>
      <c r="AS50" s="134">
        <v>0.44965926577269716</v>
      </c>
      <c r="AT50" s="134">
        <v>0.39008573312815997</v>
      </c>
      <c r="AU50" s="134">
        <v>0.32325785887008124</v>
      </c>
      <c r="AV50" s="134">
        <f t="shared" si="46"/>
        <v>0.05</v>
      </c>
      <c r="AW50" s="134">
        <f t="shared" si="46"/>
        <v>0.05</v>
      </c>
      <c r="AX50" s="134" t="s">
        <v>395</v>
      </c>
      <c r="AY50" s="134" t="s">
        <v>395</v>
      </c>
      <c r="AZ50" s="134" t="s">
        <v>395</v>
      </c>
      <c r="BA50" s="134" t="s">
        <v>395</v>
      </c>
      <c r="BB50" s="134" t="s">
        <v>395</v>
      </c>
      <c r="BC50" s="24" t="s">
        <v>395</v>
      </c>
      <c r="BD50" s="24" t="s">
        <v>395</v>
      </c>
      <c r="BE50" s="24" t="s">
        <v>395</v>
      </c>
      <c r="BF50" s="24" t="s">
        <v>395</v>
      </c>
      <c r="BG50" s="24" t="s">
        <v>395</v>
      </c>
      <c r="BH50" s="24" t="s">
        <v>395</v>
      </c>
      <c r="BI50" s="24" t="s">
        <v>395</v>
      </c>
      <c r="BJ50" s="24" t="s">
        <v>395</v>
      </c>
      <c r="BK50" s="24" t="s">
        <v>395</v>
      </c>
      <c r="BL50" s="24" t="s">
        <v>395</v>
      </c>
      <c r="BM50" s="24" t="s">
        <v>395</v>
      </c>
      <c r="BN50" s="54">
        <v>23</v>
      </c>
      <c r="BO50" s="136" t="s">
        <v>395</v>
      </c>
      <c r="BP50" s="136" t="s">
        <v>395</v>
      </c>
      <c r="BQ50" s="136" t="s">
        <v>395</v>
      </c>
      <c r="BR50" s="136" t="s">
        <v>395</v>
      </c>
      <c r="BS50" s="136" t="s">
        <v>395</v>
      </c>
      <c r="BT50" s="136" t="s">
        <v>395</v>
      </c>
      <c r="BU50" s="136" t="s">
        <v>395</v>
      </c>
      <c r="BV50" s="136" t="s">
        <v>395</v>
      </c>
      <c r="BW50" s="136" t="s">
        <v>395</v>
      </c>
      <c r="BX50" s="136" t="s">
        <v>395</v>
      </c>
      <c r="BY50" s="136" t="s">
        <v>395</v>
      </c>
      <c r="BZ50" s="136" t="s">
        <v>395</v>
      </c>
      <c r="CA50" s="136" t="s">
        <v>395</v>
      </c>
      <c r="CB50" s="136" t="s">
        <v>395</v>
      </c>
      <c r="CC50" s="136" t="s">
        <v>395</v>
      </c>
      <c r="CD50" s="136" t="s">
        <v>395</v>
      </c>
      <c r="CE50" s="136" t="s">
        <v>395</v>
      </c>
      <c r="CF50" s="136" t="s">
        <v>395</v>
      </c>
      <c r="CG50" s="136" t="s">
        <v>395</v>
      </c>
      <c r="CH50" s="136" t="s">
        <v>395</v>
      </c>
      <c r="CI50" s="136" t="s">
        <v>395</v>
      </c>
      <c r="CJ50" s="136" t="s">
        <v>395</v>
      </c>
      <c r="CK50" s="136" t="s">
        <v>395</v>
      </c>
      <c r="CL50" s="136" t="s">
        <v>395</v>
      </c>
      <c r="CM50" s="136" t="s">
        <v>395</v>
      </c>
      <c r="CN50" s="136" t="s">
        <v>395</v>
      </c>
      <c r="CO50" s="136" t="s">
        <v>395</v>
      </c>
      <c r="CP50" s="136" t="s">
        <v>395</v>
      </c>
      <c r="CQ50" s="136" t="s">
        <v>395</v>
      </c>
      <c r="CR50" s="136" t="s">
        <v>395</v>
      </c>
      <c r="CS50" s="136" t="s">
        <v>395</v>
      </c>
      <c r="CT50" s="136" t="s">
        <v>395</v>
      </c>
      <c r="CU50" s="136" t="s">
        <v>395</v>
      </c>
      <c r="CV50" s="136" t="s">
        <v>395</v>
      </c>
      <c r="CW50" s="136" t="s">
        <v>395</v>
      </c>
      <c r="CX50" s="136" t="s">
        <v>395</v>
      </c>
      <c r="CY50" s="137" t="s">
        <v>395</v>
      </c>
      <c r="CZ50" s="136"/>
      <c r="DA50" s="57"/>
      <c r="DB50" s="57"/>
      <c r="DC50" s="57"/>
      <c r="DD50" s="57"/>
      <c r="DE50" s="57"/>
      <c r="DF50" s="57"/>
      <c r="DG50" s="57"/>
      <c r="DH50" s="59"/>
    </row>
    <row r="51" spans="1:112" s="102" customFormat="1" x14ac:dyDescent="0.3">
      <c r="A51" s="115" t="s">
        <v>25</v>
      </c>
      <c r="B51" s="115" t="s">
        <v>25</v>
      </c>
      <c r="C51" s="132" t="s">
        <v>20</v>
      </c>
      <c r="D51" s="140"/>
      <c r="E51" s="115"/>
      <c r="F51" s="115"/>
      <c r="G51" s="141">
        <v>44811</v>
      </c>
      <c r="H51" s="120" t="s">
        <v>168</v>
      </c>
      <c r="I51" s="123" t="s">
        <v>33</v>
      </c>
      <c r="J51" s="229" t="s">
        <v>169</v>
      </c>
      <c r="K51" s="230">
        <v>0.57215511760968496</v>
      </c>
      <c r="L51" s="24" t="s">
        <v>394</v>
      </c>
      <c r="M51" s="138">
        <v>2.7596989198411866E-2</v>
      </c>
      <c r="N51" s="139">
        <v>6.9174761114969813E-2</v>
      </c>
      <c r="O51" s="134">
        <v>0.74767337956490199</v>
      </c>
      <c r="P51" s="134">
        <v>0.63587284239686914</v>
      </c>
      <c r="Q51" s="58">
        <v>2.8126225440766683</v>
      </c>
      <c r="R51" s="58">
        <v>2.2866365554578336</v>
      </c>
      <c r="S51" s="134">
        <v>0.85191608246023576</v>
      </c>
      <c r="T51" s="101">
        <v>7.4314931542698917</v>
      </c>
      <c r="U51" s="24">
        <f t="shared" si="31"/>
        <v>59.386170836532528</v>
      </c>
      <c r="V51" s="99">
        <f>0.5*0.026</f>
        <v>1.2999999999999999E-2</v>
      </c>
      <c r="W51" s="99">
        <v>0.05</v>
      </c>
      <c r="X51" s="99">
        <v>3.4000000000000002E-2</v>
      </c>
      <c r="Y51" s="99">
        <v>5.0999999999999997E-2</v>
      </c>
      <c r="Z51" s="99">
        <v>2.1000000000000001E-2</v>
      </c>
      <c r="AA51" s="99">
        <v>1.7000000000000001E-2</v>
      </c>
      <c r="AB51" s="99">
        <v>8.0000000000000002E-3</v>
      </c>
      <c r="AC51" s="100">
        <f>0.5*0.0986096045754856</f>
        <v>4.9304802287742797E-2</v>
      </c>
      <c r="AD51" s="100">
        <v>0.18099999999999999</v>
      </c>
      <c r="AE51" s="24">
        <f t="shared" si="24"/>
        <v>0.17299999999999999</v>
      </c>
      <c r="AF51" s="71">
        <f t="shared" si="42"/>
        <v>5.0000000000000001E-4</v>
      </c>
      <c r="AG51" s="25" t="s">
        <v>395</v>
      </c>
      <c r="AH51" s="135">
        <v>24.14931188561215</v>
      </c>
      <c r="AI51" s="72">
        <f t="shared" si="43"/>
        <v>7.4999999999999997E-2</v>
      </c>
      <c r="AJ51" s="72" t="s">
        <v>395</v>
      </c>
      <c r="AK51" s="134">
        <f t="shared" si="47"/>
        <v>0.05</v>
      </c>
      <c r="AL51" s="72">
        <f t="shared" si="44"/>
        <v>0.1</v>
      </c>
      <c r="AM51" s="72">
        <f t="shared" si="48"/>
        <v>0.1</v>
      </c>
      <c r="AN51" s="58">
        <v>1.1301519213583555</v>
      </c>
      <c r="AO51" s="134">
        <v>0.31522788203753355</v>
      </c>
      <c r="AP51" s="134" t="s">
        <v>395</v>
      </c>
      <c r="AQ51" s="134">
        <v>0.30647006255585341</v>
      </c>
      <c r="AR51" s="72">
        <f t="shared" si="45"/>
        <v>0.05</v>
      </c>
      <c r="AS51" s="134">
        <v>0.18766756032171578</v>
      </c>
      <c r="AT51" s="134">
        <f>0.5*0.2</f>
        <v>0.1</v>
      </c>
      <c r="AU51" s="134">
        <f>0.5*0.15</f>
        <v>7.4999999999999997E-2</v>
      </c>
      <c r="AV51" s="134">
        <f t="shared" si="46"/>
        <v>0.05</v>
      </c>
      <c r="AW51" s="134">
        <f t="shared" si="46"/>
        <v>0.05</v>
      </c>
      <c r="AX51" s="134" t="s">
        <v>395</v>
      </c>
      <c r="AY51" s="134" t="s">
        <v>395</v>
      </c>
      <c r="AZ51" s="134" t="s">
        <v>395</v>
      </c>
      <c r="BA51" s="134" t="s">
        <v>395</v>
      </c>
      <c r="BB51" s="134" t="s">
        <v>395</v>
      </c>
      <c r="BC51" s="24" t="s">
        <v>395</v>
      </c>
      <c r="BD51" s="24" t="s">
        <v>395</v>
      </c>
      <c r="BE51" s="24" t="s">
        <v>395</v>
      </c>
      <c r="BF51" s="24" t="s">
        <v>395</v>
      </c>
      <c r="BG51" s="24" t="s">
        <v>395</v>
      </c>
      <c r="BH51" s="24" t="s">
        <v>395</v>
      </c>
      <c r="BI51" s="24" t="s">
        <v>395</v>
      </c>
      <c r="BJ51" s="24" t="s">
        <v>395</v>
      </c>
      <c r="BK51" s="24" t="s">
        <v>395</v>
      </c>
      <c r="BL51" s="24" t="s">
        <v>395</v>
      </c>
      <c r="BM51" s="24" t="s">
        <v>395</v>
      </c>
      <c r="BN51" s="54">
        <v>120</v>
      </c>
      <c r="BO51" s="136" t="s">
        <v>395</v>
      </c>
      <c r="BP51" s="136" t="s">
        <v>395</v>
      </c>
      <c r="BQ51" s="136" t="s">
        <v>395</v>
      </c>
      <c r="BR51" s="136" t="s">
        <v>395</v>
      </c>
      <c r="BS51" s="136" t="s">
        <v>395</v>
      </c>
      <c r="BT51" s="136" t="s">
        <v>395</v>
      </c>
      <c r="BU51" s="136" t="s">
        <v>395</v>
      </c>
      <c r="BV51" s="136" t="s">
        <v>395</v>
      </c>
      <c r="BW51" s="136" t="s">
        <v>395</v>
      </c>
      <c r="BX51" s="136" t="s">
        <v>395</v>
      </c>
      <c r="BY51" s="136" t="s">
        <v>395</v>
      </c>
      <c r="BZ51" s="136" t="s">
        <v>395</v>
      </c>
      <c r="CA51" s="136" t="s">
        <v>395</v>
      </c>
      <c r="CB51" s="136" t="s">
        <v>395</v>
      </c>
      <c r="CC51" s="136" t="s">
        <v>395</v>
      </c>
      <c r="CD51" s="136" t="s">
        <v>395</v>
      </c>
      <c r="CE51" s="136" t="s">
        <v>395</v>
      </c>
      <c r="CF51" s="136" t="s">
        <v>395</v>
      </c>
      <c r="CG51" s="136" t="s">
        <v>395</v>
      </c>
      <c r="CH51" s="136" t="s">
        <v>395</v>
      </c>
      <c r="CI51" s="136" t="s">
        <v>395</v>
      </c>
      <c r="CJ51" s="136" t="s">
        <v>395</v>
      </c>
      <c r="CK51" s="136" t="s">
        <v>395</v>
      </c>
      <c r="CL51" s="136" t="s">
        <v>395</v>
      </c>
      <c r="CM51" s="136" t="s">
        <v>395</v>
      </c>
      <c r="CN51" s="136" t="s">
        <v>395</v>
      </c>
      <c r="CO51" s="136" t="s">
        <v>395</v>
      </c>
      <c r="CP51" s="136" t="s">
        <v>395</v>
      </c>
      <c r="CQ51" s="136" t="s">
        <v>395</v>
      </c>
      <c r="CR51" s="136" t="s">
        <v>395</v>
      </c>
      <c r="CS51" s="136" t="s">
        <v>395</v>
      </c>
      <c r="CT51" s="136" t="s">
        <v>395</v>
      </c>
      <c r="CU51" s="136" t="s">
        <v>395</v>
      </c>
      <c r="CV51" s="136" t="s">
        <v>395</v>
      </c>
      <c r="CW51" s="136" t="s">
        <v>395</v>
      </c>
      <c r="CX51" s="136" t="s">
        <v>395</v>
      </c>
      <c r="CY51" s="137" t="s">
        <v>395</v>
      </c>
      <c r="CZ51" s="147"/>
      <c r="DA51" s="107"/>
      <c r="DB51" s="107"/>
      <c r="DC51" s="107"/>
      <c r="DD51" s="107"/>
      <c r="DE51" s="107"/>
      <c r="DF51" s="107"/>
      <c r="DG51" s="107"/>
      <c r="DH51" s="108"/>
    </row>
    <row r="52" spans="1:112" s="102" customFormat="1" x14ac:dyDescent="0.3">
      <c r="A52" s="115" t="s">
        <v>112</v>
      </c>
      <c r="B52" s="115" t="s">
        <v>112</v>
      </c>
      <c r="C52" s="132" t="s">
        <v>20</v>
      </c>
      <c r="D52" s="140"/>
      <c r="E52" s="115"/>
      <c r="F52" s="115"/>
      <c r="G52" s="141">
        <v>44819</v>
      </c>
      <c r="H52" s="120" t="s">
        <v>168</v>
      </c>
      <c r="I52" s="123" t="s">
        <v>33</v>
      </c>
      <c r="J52" s="229" t="s">
        <v>169</v>
      </c>
      <c r="K52" s="230">
        <v>0.44749713809969099</v>
      </c>
      <c r="L52" s="24" t="s">
        <v>394</v>
      </c>
      <c r="M52" s="24">
        <v>0.39598657031612838</v>
      </c>
      <c r="N52" s="58">
        <v>1.0826485308246201</v>
      </c>
      <c r="O52" s="58">
        <v>3.995277102800018</v>
      </c>
      <c r="P52" s="58">
        <v>3.3398417543332295</v>
      </c>
      <c r="Q52" s="58">
        <v>8.5667322221331244</v>
      </c>
      <c r="R52" s="58">
        <v>7.4163542092015584</v>
      </c>
      <c r="S52" s="58">
        <v>2.0849760930481294</v>
      </c>
      <c r="T52" s="135">
        <v>26.881816482656813</v>
      </c>
      <c r="U52" s="24">
        <f t="shared" si="31"/>
        <v>263.04050600519179</v>
      </c>
      <c r="V52" s="99">
        <f>0.5*0.025</f>
        <v>1.2500000000000001E-2</v>
      </c>
      <c r="W52" s="99">
        <v>6.4000000000000001E-2</v>
      </c>
      <c r="X52" s="99">
        <v>2.3E-2</v>
      </c>
      <c r="Y52" s="99">
        <v>3.3000000000000002E-2</v>
      </c>
      <c r="Z52" s="99">
        <v>1.0999999999999999E-2</v>
      </c>
      <c r="AA52" s="99">
        <v>0.01</v>
      </c>
      <c r="AB52" s="99">
        <v>1.0999999999999999E-2</v>
      </c>
      <c r="AC52" s="231">
        <f>0.5*0.100684655658478</f>
        <v>5.0342327829239003E-2</v>
      </c>
      <c r="AD52" s="100">
        <v>0.15200000000000002</v>
      </c>
      <c r="AE52" s="24">
        <f t="shared" si="24"/>
        <v>0.15350000000000003</v>
      </c>
      <c r="AF52" s="71">
        <f t="shared" si="42"/>
        <v>5.0000000000000001E-4</v>
      </c>
      <c r="AG52" s="25" t="s">
        <v>395</v>
      </c>
      <c r="AH52" s="101">
        <v>2.8140134559574124</v>
      </c>
      <c r="AI52" s="72">
        <f t="shared" si="43"/>
        <v>7.4999999999999997E-2</v>
      </c>
      <c r="AJ52" s="72" t="s">
        <v>395</v>
      </c>
      <c r="AK52" s="134">
        <f t="shared" si="47"/>
        <v>0.05</v>
      </c>
      <c r="AL52" s="72">
        <f t="shared" si="44"/>
        <v>0.1</v>
      </c>
      <c r="AM52" s="72">
        <f t="shared" si="48"/>
        <v>0.1</v>
      </c>
      <c r="AN52" s="134">
        <v>0.29433820750837403</v>
      </c>
      <c r="AO52" s="72">
        <f>0.5*0.1</f>
        <v>0.05</v>
      </c>
      <c r="AP52" s="134" t="s">
        <v>395</v>
      </c>
      <c r="AQ52" s="134">
        <v>0.1409307363636127</v>
      </c>
      <c r="AR52" s="72">
        <f t="shared" si="45"/>
        <v>0.05</v>
      </c>
      <c r="AS52" s="134">
        <v>0.34776271070352038</v>
      </c>
      <c r="AT52" s="134">
        <v>0.1369019970728777</v>
      </c>
      <c r="AU52" s="134">
        <v>0.17317353916693529</v>
      </c>
      <c r="AV52" s="134">
        <f t="shared" si="46"/>
        <v>0.05</v>
      </c>
      <c r="AW52" s="134">
        <f t="shared" si="46"/>
        <v>0.05</v>
      </c>
      <c r="AX52" s="134" t="s">
        <v>395</v>
      </c>
      <c r="AY52" s="134" t="s">
        <v>395</v>
      </c>
      <c r="AZ52" s="134" t="s">
        <v>395</v>
      </c>
      <c r="BA52" s="134" t="s">
        <v>395</v>
      </c>
      <c r="BB52" s="134" t="s">
        <v>395</v>
      </c>
      <c r="BC52" s="24" t="s">
        <v>395</v>
      </c>
      <c r="BD52" s="24" t="s">
        <v>395</v>
      </c>
      <c r="BE52" s="24" t="s">
        <v>395</v>
      </c>
      <c r="BF52" s="24" t="s">
        <v>395</v>
      </c>
      <c r="BG52" s="24" t="s">
        <v>395</v>
      </c>
      <c r="BH52" s="24" t="s">
        <v>395</v>
      </c>
      <c r="BI52" s="24" t="s">
        <v>395</v>
      </c>
      <c r="BJ52" s="24" t="s">
        <v>395</v>
      </c>
      <c r="BK52" s="24" t="s">
        <v>395</v>
      </c>
      <c r="BL52" s="24" t="s">
        <v>395</v>
      </c>
      <c r="BM52" s="24" t="s">
        <v>395</v>
      </c>
      <c r="BN52" s="54">
        <v>310</v>
      </c>
      <c r="BO52" s="136" t="s">
        <v>395</v>
      </c>
      <c r="BP52" s="136" t="s">
        <v>395</v>
      </c>
      <c r="BQ52" s="136" t="s">
        <v>395</v>
      </c>
      <c r="BR52" s="136" t="s">
        <v>395</v>
      </c>
      <c r="BS52" s="136" t="s">
        <v>395</v>
      </c>
      <c r="BT52" s="136" t="s">
        <v>395</v>
      </c>
      <c r="BU52" s="136" t="s">
        <v>395</v>
      </c>
      <c r="BV52" s="136" t="s">
        <v>395</v>
      </c>
      <c r="BW52" s="136" t="s">
        <v>395</v>
      </c>
      <c r="BX52" s="136" t="s">
        <v>395</v>
      </c>
      <c r="BY52" s="136" t="s">
        <v>395</v>
      </c>
      <c r="BZ52" s="136" t="s">
        <v>395</v>
      </c>
      <c r="CA52" s="136" t="s">
        <v>395</v>
      </c>
      <c r="CB52" s="136" t="s">
        <v>395</v>
      </c>
      <c r="CC52" s="136" t="s">
        <v>395</v>
      </c>
      <c r="CD52" s="136" t="s">
        <v>395</v>
      </c>
      <c r="CE52" s="136" t="s">
        <v>395</v>
      </c>
      <c r="CF52" s="136" t="s">
        <v>395</v>
      </c>
      <c r="CG52" s="136" t="s">
        <v>395</v>
      </c>
      <c r="CH52" s="136" t="s">
        <v>395</v>
      </c>
      <c r="CI52" s="136" t="s">
        <v>395</v>
      </c>
      <c r="CJ52" s="136" t="s">
        <v>395</v>
      </c>
      <c r="CK52" s="136" t="s">
        <v>395</v>
      </c>
      <c r="CL52" s="136" t="s">
        <v>395</v>
      </c>
      <c r="CM52" s="136" t="s">
        <v>395</v>
      </c>
      <c r="CN52" s="136" t="s">
        <v>395</v>
      </c>
      <c r="CO52" s="136" t="s">
        <v>395</v>
      </c>
      <c r="CP52" s="136" t="s">
        <v>395</v>
      </c>
      <c r="CQ52" s="136" t="s">
        <v>395</v>
      </c>
      <c r="CR52" s="136" t="s">
        <v>395</v>
      </c>
      <c r="CS52" s="136" t="s">
        <v>395</v>
      </c>
      <c r="CT52" s="136" t="s">
        <v>395</v>
      </c>
      <c r="CU52" s="136" t="s">
        <v>395</v>
      </c>
      <c r="CV52" s="136" t="s">
        <v>395</v>
      </c>
      <c r="CW52" s="136" t="s">
        <v>395</v>
      </c>
      <c r="CX52" s="136" t="s">
        <v>395</v>
      </c>
      <c r="CY52" s="137" t="s">
        <v>395</v>
      </c>
      <c r="CZ52" s="147"/>
      <c r="DA52" s="107"/>
      <c r="DB52" s="107"/>
      <c r="DC52" s="107"/>
      <c r="DD52" s="107"/>
      <c r="DE52" s="107"/>
      <c r="DF52" s="107"/>
      <c r="DG52" s="107"/>
      <c r="DH52" s="108"/>
    </row>
    <row r="53" spans="1:112" s="102" customFormat="1" x14ac:dyDescent="0.3">
      <c r="A53" s="115" t="s">
        <v>79</v>
      </c>
      <c r="B53" s="115" t="s">
        <v>79</v>
      </c>
      <c r="C53" s="132" t="s">
        <v>20</v>
      </c>
      <c r="D53" s="140"/>
      <c r="E53" s="115"/>
      <c r="F53" s="115"/>
      <c r="G53" s="141">
        <v>44810</v>
      </c>
      <c r="H53" s="120" t="s">
        <v>168</v>
      </c>
      <c r="I53" s="123" t="s">
        <v>33</v>
      </c>
      <c r="J53" s="229" t="s">
        <v>169</v>
      </c>
      <c r="K53" s="230">
        <v>0.52262987352357804</v>
      </c>
      <c r="L53" s="24" t="s">
        <v>394</v>
      </c>
      <c r="M53" s="24">
        <v>0.32969437127984724</v>
      </c>
      <c r="N53" s="58">
        <v>1.1318919791888371</v>
      </c>
      <c r="O53" s="58">
        <v>5.6891441349315377</v>
      </c>
      <c r="P53" s="58">
        <v>4.4303076296846147</v>
      </c>
      <c r="Q53" s="69">
        <v>11.616288639100762</v>
      </c>
      <c r="R53" s="58">
        <v>9.6927112176472221</v>
      </c>
      <c r="S53" s="58">
        <v>2.8122443348825685</v>
      </c>
      <c r="T53" s="135">
        <v>35.702282306715396</v>
      </c>
      <c r="U53" s="24">
        <f t="shared" si="31"/>
        <v>299.17898173514914</v>
      </c>
      <c r="V53" s="99">
        <f>0.5*0.025</f>
        <v>1.2500000000000001E-2</v>
      </c>
      <c r="W53" s="99">
        <v>7.1999999999999995E-2</v>
      </c>
      <c r="X53" s="99">
        <v>2.3E-2</v>
      </c>
      <c r="Y53" s="99">
        <v>3.3000000000000002E-2</v>
      </c>
      <c r="Z53" s="99">
        <v>1.0999999999999999E-2</v>
      </c>
      <c r="AA53" s="99">
        <v>1.0999999999999999E-2</v>
      </c>
      <c r="AB53" s="99">
        <f>0.5*0.025</f>
        <v>1.2500000000000001E-2</v>
      </c>
      <c r="AC53" s="100">
        <f>0.5*0.100361300682457</f>
        <v>5.0180650341228497E-2</v>
      </c>
      <c r="AD53" s="100">
        <v>0.15000000000000002</v>
      </c>
      <c r="AE53" s="24">
        <f t="shared" si="24"/>
        <v>0.16400000000000001</v>
      </c>
      <c r="AF53" s="71">
        <f t="shared" si="42"/>
        <v>5.0000000000000001E-4</v>
      </c>
      <c r="AG53" s="25" t="s">
        <v>395</v>
      </c>
      <c r="AH53" s="58">
        <v>3.7351535138175231</v>
      </c>
      <c r="AI53" s="72">
        <f t="shared" si="43"/>
        <v>7.4999999999999997E-2</v>
      </c>
      <c r="AJ53" s="72" t="s">
        <v>395</v>
      </c>
      <c r="AK53" s="134">
        <f t="shared" si="47"/>
        <v>0.05</v>
      </c>
      <c r="AL53" s="72">
        <f t="shared" si="44"/>
        <v>0.1</v>
      </c>
      <c r="AM53" s="72">
        <f t="shared" si="48"/>
        <v>0.1</v>
      </c>
      <c r="AN53" s="134">
        <v>0.3874018968734822</v>
      </c>
      <c r="AO53" s="134">
        <v>4.5785719763785579E-2</v>
      </c>
      <c r="AP53" s="134" t="s">
        <v>395</v>
      </c>
      <c r="AQ53" s="134">
        <v>0.25850653168699034</v>
      </c>
      <c r="AR53" s="72">
        <f t="shared" si="45"/>
        <v>0.05</v>
      </c>
      <c r="AS53" s="134">
        <v>0.41828361070634262</v>
      </c>
      <c r="AT53" s="134">
        <f>0.5*0.2</f>
        <v>0.1</v>
      </c>
      <c r="AU53" s="134">
        <f>0.5*0.15</f>
        <v>7.4999999999999997E-2</v>
      </c>
      <c r="AV53" s="134">
        <f t="shared" si="46"/>
        <v>0.05</v>
      </c>
      <c r="AW53" s="134">
        <f t="shared" si="46"/>
        <v>0.05</v>
      </c>
      <c r="AX53" s="134" t="s">
        <v>395</v>
      </c>
      <c r="AY53" s="134" t="s">
        <v>395</v>
      </c>
      <c r="AZ53" s="134" t="s">
        <v>395</v>
      </c>
      <c r="BA53" s="134" t="s">
        <v>395</v>
      </c>
      <c r="BB53" s="134" t="s">
        <v>395</v>
      </c>
      <c r="BC53" s="24" t="s">
        <v>395</v>
      </c>
      <c r="BD53" s="24" t="s">
        <v>395</v>
      </c>
      <c r="BE53" s="24" t="s">
        <v>395</v>
      </c>
      <c r="BF53" s="24" t="s">
        <v>395</v>
      </c>
      <c r="BG53" s="24" t="s">
        <v>395</v>
      </c>
      <c r="BH53" s="24" t="s">
        <v>395</v>
      </c>
      <c r="BI53" s="24" t="s">
        <v>395</v>
      </c>
      <c r="BJ53" s="24" t="s">
        <v>395</v>
      </c>
      <c r="BK53" s="24" t="s">
        <v>395</v>
      </c>
      <c r="BL53" s="24" t="s">
        <v>395</v>
      </c>
      <c r="BM53" s="24" t="s">
        <v>395</v>
      </c>
      <c r="BN53" s="54">
        <v>190</v>
      </c>
      <c r="BO53" s="136" t="s">
        <v>395</v>
      </c>
      <c r="BP53" s="136" t="s">
        <v>395</v>
      </c>
      <c r="BQ53" s="136" t="s">
        <v>395</v>
      </c>
      <c r="BR53" s="136" t="s">
        <v>395</v>
      </c>
      <c r="BS53" s="136" t="s">
        <v>395</v>
      </c>
      <c r="BT53" s="136" t="s">
        <v>395</v>
      </c>
      <c r="BU53" s="136" t="s">
        <v>395</v>
      </c>
      <c r="BV53" s="136" t="s">
        <v>395</v>
      </c>
      <c r="BW53" s="136" t="s">
        <v>395</v>
      </c>
      <c r="BX53" s="136" t="s">
        <v>395</v>
      </c>
      <c r="BY53" s="136" t="s">
        <v>395</v>
      </c>
      <c r="BZ53" s="136" t="s">
        <v>395</v>
      </c>
      <c r="CA53" s="136" t="s">
        <v>395</v>
      </c>
      <c r="CB53" s="136" t="s">
        <v>395</v>
      </c>
      <c r="CC53" s="136" t="s">
        <v>395</v>
      </c>
      <c r="CD53" s="136" t="s">
        <v>395</v>
      </c>
      <c r="CE53" s="136" t="s">
        <v>395</v>
      </c>
      <c r="CF53" s="136" t="s">
        <v>395</v>
      </c>
      <c r="CG53" s="136" t="s">
        <v>395</v>
      </c>
      <c r="CH53" s="136" t="s">
        <v>395</v>
      </c>
      <c r="CI53" s="136" t="s">
        <v>395</v>
      </c>
      <c r="CJ53" s="136" t="s">
        <v>395</v>
      </c>
      <c r="CK53" s="136" t="s">
        <v>395</v>
      </c>
      <c r="CL53" s="136" t="s">
        <v>395</v>
      </c>
      <c r="CM53" s="136" t="s">
        <v>395</v>
      </c>
      <c r="CN53" s="136" t="s">
        <v>395</v>
      </c>
      <c r="CO53" s="136" t="s">
        <v>395</v>
      </c>
      <c r="CP53" s="136" t="s">
        <v>395</v>
      </c>
      <c r="CQ53" s="136" t="s">
        <v>395</v>
      </c>
      <c r="CR53" s="136" t="s">
        <v>395</v>
      </c>
      <c r="CS53" s="136" t="s">
        <v>395</v>
      </c>
      <c r="CT53" s="136" t="s">
        <v>395</v>
      </c>
      <c r="CU53" s="136" t="s">
        <v>395</v>
      </c>
      <c r="CV53" s="136" t="s">
        <v>395</v>
      </c>
      <c r="CW53" s="136" t="s">
        <v>395</v>
      </c>
      <c r="CX53" s="136" t="s">
        <v>395</v>
      </c>
      <c r="CY53" s="137" t="s">
        <v>395</v>
      </c>
      <c r="CZ53" s="147"/>
      <c r="DA53" s="107"/>
      <c r="DB53" s="107"/>
      <c r="DC53" s="107"/>
      <c r="DD53" s="107"/>
      <c r="DE53" s="107"/>
      <c r="DF53" s="107"/>
      <c r="DG53" s="107"/>
      <c r="DH53" s="108"/>
    </row>
    <row r="54" spans="1:112" s="102" customFormat="1" x14ac:dyDescent="0.3">
      <c r="A54" s="115" t="s">
        <v>26</v>
      </c>
      <c r="B54" s="115" t="s">
        <v>26</v>
      </c>
      <c r="C54" s="132" t="s">
        <v>20</v>
      </c>
      <c r="D54" s="140"/>
      <c r="E54" s="115"/>
      <c r="F54" s="115"/>
      <c r="G54" s="141">
        <v>44818</v>
      </c>
      <c r="H54" s="120" t="s">
        <v>168</v>
      </c>
      <c r="I54" s="123" t="s">
        <v>33</v>
      </c>
      <c r="J54" s="229" t="s">
        <v>169</v>
      </c>
      <c r="K54" s="230">
        <v>0.49611734253666301</v>
      </c>
      <c r="L54" s="24" t="s">
        <v>394</v>
      </c>
      <c r="M54" s="138">
        <v>3.7003166970959248E-2</v>
      </c>
      <c r="N54" s="139">
        <v>5.645110227862677E-2</v>
      </c>
      <c r="O54" s="134">
        <v>0.4417060616805335</v>
      </c>
      <c r="P54" s="134">
        <v>0.60410740422310849</v>
      </c>
      <c r="Q54" s="58">
        <v>1.9214603777606647</v>
      </c>
      <c r="R54" s="58">
        <v>1.6175437468728497</v>
      </c>
      <c r="S54" s="134">
        <v>0.60041297510775449</v>
      </c>
      <c r="T54" s="101">
        <v>5.2786848348944968</v>
      </c>
      <c r="U54" s="24">
        <f t="shared" si="31"/>
        <v>47.111610801288798</v>
      </c>
      <c r="V54" s="99">
        <f>0.5*0.024</f>
        <v>1.2E-2</v>
      </c>
      <c r="W54" s="99">
        <v>1.2999999999999999E-2</v>
      </c>
      <c r="X54" s="99">
        <v>1.2E-2</v>
      </c>
      <c r="Y54" s="99">
        <v>1.2E-2</v>
      </c>
      <c r="Z54" s="99">
        <f>0.5*0.024</f>
        <v>1.2E-2</v>
      </c>
      <c r="AA54" s="99">
        <f>0.5*0.024</f>
        <v>1.2E-2</v>
      </c>
      <c r="AB54" s="99">
        <f>0.5*0.024</f>
        <v>1.2E-2</v>
      </c>
      <c r="AC54" s="100">
        <f>0.5*0.0976467141880676</f>
        <v>4.8823357094033799E-2</v>
      </c>
      <c r="AD54" s="99">
        <v>1.3000000000000005E-2</v>
      </c>
      <c r="AE54" s="24">
        <f t="shared" si="24"/>
        <v>7.2999999999999995E-2</v>
      </c>
      <c r="AF54" s="71">
        <f t="shared" si="42"/>
        <v>5.0000000000000001E-4</v>
      </c>
      <c r="AG54" s="25" t="s">
        <v>395</v>
      </c>
      <c r="AH54" s="58">
        <v>1.9703846772895544</v>
      </c>
      <c r="AI54" s="72">
        <f t="shared" si="43"/>
        <v>7.4999999999999997E-2</v>
      </c>
      <c r="AJ54" s="72" t="s">
        <v>395</v>
      </c>
      <c r="AK54" s="134">
        <f t="shared" si="47"/>
        <v>0.05</v>
      </c>
      <c r="AL54" s="72">
        <f t="shared" si="44"/>
        <v>0.1</v>
      </c>
      <c r="AM54" s="72">
        <f t="shared" si="48"/>
        <v>0.1</v>
      </c>
      <c r="AN54" s="134">
        <v>0.28746177370030579</v>
      </c>
      <c r="AO54" s="72">
        <f>0.5*0.1</f>
        <v>0.05</v>
      </c>
      <c r="AP54" s="134" t="s">
        <v>395</v>
      </c>
      <c r="AQ54" s="134">
        <v>9.2202984525534035E-2</v>
      </c>
      <c r="AR54" s="72">
        <f t="shared" si="45"/>
        <v>0.05</v>
      </c>
      <c r="AS54" s="134">
        <f>0.5*0.2</f>
        <v>0.1</v>
      </c>
      <c r="AT54" s="134">
        <f>0.5*0.2</f>
        <v>0.1</v>
      </c>
      <c r="AU54" s="134">
        <f>0.5*0.15</f>
        <v>7.4999999999999997E-2</v>
      </c>
      <c r="AV54" s="134">
        <f t="shared" si="46"/>
        <v>0.05</v>
      </c>
      <c r="AW54" s="134">
        <f t="shared" si="46"/>
        <v>0.05</v>
      </c>
      <c r="AX54" s="134" t="s">
        <v>395</v>
      </c>
      <c r="AY54" s="134" t="s">
        <v>395</v>
      </c>
      <c r="AZ54" s="134" t="s">
        <v>395</v>
      </c>
      <c r="BA54" s="134" t="s">
        <v>395</v>
      </c>
      <c r="BB54" s="134" t="s">
        <v>395</v>
      </c>
      <c r="BC54" s="24" t="s">
        <v>395</v>
      </c>
      <c r="BD54" s="24" t="s">
        <v>395</v>
      </c>
      <c r="BE54" s="24" t="s">
        <v>395</v>
      </c>
      <c r="BF54" s="24" t="s">
        <v>395</v>
      </c>
      <c r="BG54" s="24" t="s">
        <v>395</v>
      </c>
      <c r="BH54" s="24" t="s">
        <v>395</v>
      </c>
      <c r="BI54" s="24" t="s">
        <v>395</v>
      </c>
      <c r="BJ54" s="24" t="s">
        <v>395</v>
      </c>
      <c r="BK54" s="24" t="s">
        <v>395</v>
      </c>
      <c r="BL54" s="24" t="s">
        <v>395</v>
      </c>
      <c r="BM54" s="24" t="s">
        <v>395</v>
      </c>
      <c r="BN54" s="54">
        <v>72</v>
      </c>
      <c r="BO54" s="136" t="s">
        <v>395</v>
      </c>
      <c r="BP54" s="136" t="s">
        <v>395</v>
      </c>
      <c r="BQ54" s="136" t="s">
        <v>395</v>
      </c>
      <c r="BR54" s="136" t="s">
        <v>395</v>
      </c>
      <c r="BS54" s="136" t="s">
        <v>395</v>
      </c>
      <c r="BT54" s="136" t="s">
        <v>395</v>
      </c>
      <c r="BU54" s="136" t="s">
        <v>395</v>
      </c>
      <c r="BV54" s="136" t="s">
        <v>395</v>
      </c>
      <c r="BW54" s="136" t="s">
        <v>395</v>
      </c>
      <c r="BX54" s="136" t="s">
        <v>395</v>
      </c>
      <c r="BY54" s="136" t="s">
        <v>395</v>
      </c>
      <c r="BZ54" s="136" t="s">
        <v>395</v>
      </c>
      <c r="CA54" s="136" t="s">
        <v>395</v>
      </c>
      <c r="CB54" s="136" t="s">
        <v>395</v>
      </c>
      <c r="CC54" s="136" t="s">
        <v>395</v>
      </c>
      <c r="CD54" s="136" t="s">
        <v>395</v>
      </c>
      <c r="CE54" s="136" t="s">
        <v>395</v>
      </c>
      <c r="CF54" s="136" t="s">
        <v>395</v>
      </c>
      <c r="CG54" s="136" t="s">
        <v>395</v>
      </c>
      <c r="CH54" s="136" t="s">
        <v>395</v>
      </c>
      <c r="CI54" s="136" t="s">
        <v>395</v>
      </c>
      <c r="CJ54" s="136" t="s">
        <v>395</v>
      </c>
      <c r="CK54" s="136" t="s">
        <v>395</v>
      </c>
      <c r="CL54" s="136" t="s">
        <v>395</v>
      </c>
      <c r="CM54" s="136" t="s">
        <v>395</v>
      </c>
      <c r="CN54" s="136" t="s">
        <v>395</v>
      </c>
      <c r="CO54" s="136" t="s">
        <v>395</v>
      </c>
      <c r="CP54" s="136" t="s">
        <v>395</v>
      </c>
      <c r="CQ54" s="136" t="s">
        <v>395</v>
      </c>
      <c r="CR54" s="136" t="s">
        <v>395</v>
      </c>
      <c r="CS54" s="136" t="s">
        <v>395</v>
      </c>
      <c r="CT54" s="136" t="s">
        <v>395</v>
      </c>
      <c r="CU54" s="136" t="s">
        <v>395</v>
      </c>
      <c r="CV54" s="136" t="s">
        <v>395</v>
      </c>
      <c r="CW54" s="136" t="s">
        <v>395</v>
      </c>
      <c r="CX54" s="136" t="s">
        <v>395</v>
      </c>
      <c r="CY54" s="137" t="s">
        <v>395</v>
      </c>
      <c r="CZ54" s="147"/>
      <c r="DA54" s="107"/>
      <c r="DB54" s="107"/>
      <c r="DC54" s="107"/>
      <c r="DD54" s="107"/>
      <c r="DE54" s="107"/>
      <c r="DF54" s="107"/>
      <c r="DG54" s="107"/>
      <c r="DH54" s="108"/>
    </row>
    <row r="55" spans="1:112" s="102" customFormat="1" x14ac:dyDescent="0.3">
      <c r="A55" s="115" t="s">
        <v>166</v>
      </c>
      <c r="B55" s="115" t="s">
        <v>166</v>
      </c>
      <c r="C55" s="132" t="s">
        <v>20</v>
      </c>
      <c r="D55" s="140"/>
      <c r="E55" s="115"/>
      <c r="F55" s="115"/>
      <c r="G55" s="141">
        <v>44816</v>
      </c>
      <c r="H55" s="120" t="s">
        <v>168</v>
      </c>
      <c r="I55" s="123" t="s">
        <v>33</v>
      </c>
      <c r="J55" s="229" t="s">
        <v>169</v>
      </c>
      <c r="K55" s="230">
        <v>0.38802660753881701</v>
      </c>
      <c r="L55" s="24" t="s">
        <v>394</v>
      </c>
      <c r="M55" s="138">
        <v>2.8269462586266881E-2</v>
      </c>
      <c r="N55" s="134">
        <v>0.30415151397952372</v>
      </c>
      <c r="O55" s="58">
        <v>2.2409840840601105</v>
      </c>
      <c r="P55" s="58">
        <v>3.2485254661708236</v>
      </c>
      <c r="Q55" s="58">
        <v>7.8120851459998004</v>
      </c>
      <c r="R55" s="58">
        <v>6.3493967362662618</v>
      </c>
      <c r="S55" s="58">
        <v>2.0655349451512612</v>
      </c>
      <c r="T55" s="135">
        <v>22.048947354214047</v>
      </c>
      <c r="U55" s="24">
        <f t="shared" si="31"/>
        <v>242.2568649002051</v>
      </c>
      <c r="V55" s="99">
        <f>0.5*0.026</f>
        <v>1.2999999999999999E-2</v>
      </c>
      <c r="W55" s="99">
        <v>2.7E-2</v>
      </c>
      <c r="X55" s="99">
        <v>2.3E-2</v>
      </c>
      <c r="Y55" s="99">
        <v>1.7999999999999999E-2</v>
      </c>
      <c r="Z55" s="99">
        <f>0.5*0.026</f>
        <v>1.2999999999999999E-2</v>
      </c>
      <c r="AA55" s="99">
        <v>1.0999999999999999E-2</v>
      </c>
      <c r="AB55" s="99">
        <f>0.5*0.026</f>
        <v>1.2999999999999999E-2</v>
      </c>
      <c r="AC55" s="100">
        <f>0.5*0.102522042239081</f>
        <v>5.1261021119540499E-2</v>
      </c>
      <c r="AD55" s="100">
        <v>7.9000000000000001E-2</v>
      </c>
      <c r="AE55" s="24">
        <f t="shared" si="24"/>
        <v>0.10499999999999998</v>
      </c>
      <c r="AF55" s="71">
        <f t="shared" si="42"/>
        <v>5.0000000000000001E-4</v>
      </c>
      <c r="AG55" s="25" t="s">
        <v>395</v>
      </c>
      <c r="AH55" s="68">
        <v>3.5453624010032803</v>
      </c>
      <c r="AI55" s="72">
        <f t="shared" si="43"/>
        <v>7.4999999999999997E-2</v>
      </c>
      <c r="AJ55" s="72" t="s">
        <v>395</v>
      </c>
      <c r="AK55" s="134">
        <f t="shared" si="47"/>
        <v>0.05</v>
      </c>
      <c r="AL55" s="72">
        <f t="shared" si="44"/>
        <v>0.1</v>
      </c>
      <c r="AM55" s="72">
        <f t="shared" si="48"/>
        <v>0.1</v>
      </c>
      <c r="AN55" s="134">
        <v>0.34599460564517504</v>
      </c>
      <c r="AO55" s="134">
        <v>7.7977632324898197E-2</v>
      </c>
      <c r="AP55" s="134" t="s">
        <v>395</v>
      </c>
      <c r="AQ55" s="134">
        <v>0.32720026112800416</v>
      </c>
      <c r="AR55" s="72">
        <f t="shared" si="45"/>
        <v>0.05</v>
      </c>
      <c r="AS55" s="134">
        <v>0.31685821780137086</v>
      </c>
      <c r="AT55" s="134">
        <v>9.4469927330825113E-2</v>
      </c>
      <c r="AU55" s="134">
        <v>0.14415296603617994</v>
      </c>
      <c r="AV55" s="134">
        <f t="shared" si="46"/>
        <v>0.05</v>
      </c>
      <c r="AW55" s="134">
        <f t="shared" si="46"/>
        <v>0.05</v>
      </c>
      <c r="AX55" s="134" t="s">
        <v>395</v>
      </c>
      <c r="AY55" s="134" t="s">
        <v>395</v>
      </c>
      <c r="AZ55" s="134" t="s">
        <v>395</v>
      </c>
      <c r="BA55" s="134" t="s">
        <v>395</v>
      </c>
      <c r="BB55" s="134" t="s">
        <v>395</v>
      </c>
      <c r="BC55" s="24" t="s">
        <v>395</v>
      </c>
      <c r="BD55" s="24" t="s">
        <v>395</v>
      </c>
      <c r="BE55" s="24" t="s">
        <v>395</v>
      </c>
      <c r="BF55" s="24" t="s">
        <v>395</v>
      </c>
      <c r="BG55" s="24" t="s">
        <v>395</v>
      </c>
      <c r="BH55" s="24" t="s">
        <v>395</v>
      </c>
      <c r="BI55" s="24" t="s">
        <v>395</v>
      </c>
      <c r="BJ55" s="24" t="s">
        <v>395</v>
      </c>
      <c r="BK55" s="24" t="s">
        <v>395</v>
      </c>
      <c r="BL55" s="24" t="s">
        <v>395</v>
      </c>
      <c r="BM55" s="24" t="s">
        <v>395</v>
      </c>
      <c r="BN55" s="54">
        <v>160</v>
      </c>
      <c r="BO55" s="136" t="s">
        <v>395</v>
      </c>
      <c r="BP55" s="136" t="s">
        <v>395</v>
      </c>
      <c r="BQ55" s="136" t="s">
        <v>395</v>
      </c>
      <c r="BR55" s="136" t="s">
        <v>395</v>
      </c>
      <c r="BS55" s="136" t="s">
        <v>395</v>
      </c>
      <c r="BT55" s="136" t="s">
        <v>395</v>
      </c>
      <c r="BU55" s="136" t="s">
        <v>395</v>
      </c>
      <c r="BV55" s="136" t="s">
        <v>395</v>
      </c>
      <c r="BW55" s="136" t="s">
        <v>395</v>
      </c>
      <c r="BX55" s="136" t="s">
        <v>395</v>
      </c>
      <c r="BY55" s="136" t="s">
        <v>395</v>
      </c>
      <c r="BZ55" s="136" t="s">
        <v>395</v>
      </c>
      <c r="CA55" s="136" t="s">
        <v>395</v>
      </c>
      <c r="CB55" s="136" t="s">
        <v>395</v>
      </c>
      <c r="CC55" s="136" t="s">
        <v>395</v>
      </c>
      <c r="CD55" s="136" t="s">
        <v>395</v>
      </c>
      <c r="CE55" s="136" t="s">
        <v>395</v>
      </c>
      <c r="CF55" s="136" t="s">
        <v>395</v>
      </c>
      <c r="CG55" s="136" t="s">
        <v>395</v>
      </c>
      <c r="CH55" s="136" t="s">
        <v>395</v>
      </c>
      <c r="CI55" s="136" t="s">
        <v>395</v>
      </c>
      <c r="CJ55" s="136" t="s">
        <v>395</v>
      </c>
      <c r="CK55" s="136" t="s">
        <v>395</v>
      </c>
      <c r="CL55" s="136" t="s">
        <v>395</v>
      </c>
      <c r="CM55" s="136" t="s">
        <v>395</v>
      </c>
      <c r="CN55" s="136" t="s">
        <v>395</v>
      </c>
      <c r="CO55" s="136" t="s">
        <v>395</v>
      </c>
      <c r="CP55" s="136" t="s">
        <v>395</v>
      </c>
      <c r="CQ55" s="136" t="s">
        <v>395</v>
      </c>
      <c r="CR55" s="136" t="s">
        <v>395</v>
      </c>
      <c r="CS55" s="136" t="s">
        <v>395</v>
      </c>
      <c r="CT55" s="136" t="s">
        <v>395</v>
      </c>
      <c r="CU55" s="136" t="s">
        <v>395</v>
      </c>
      <c r="CV55" s="136" t="s">
        <v>395</v>
      </c>
      <c r="CW55" s="136" t="s">
        <v>395</v>
      </c>
      <c r="CX55" s="136" t="s">
        <v>395</v>
      </c>
      <c r="CY55" s="137" t="s">
        <v>395</v>
      </c>
      <c r="CZ55" s="147"/>
      <c r="DA55" s="107"/>
      <c r="DB55" s="107"/>
      <c r="DC55" s="107"/>
      <c r="DD55" s="107"/>
      <c r="DE55" s="107"/>
      <c r="DF55" s="107"/>
      <c r="DG55" s="107"/>
      <c r="DH55" s="108"/>
    </row>
    <row r="56" spans="1:112" s="102" customFormat="1" x14ac:dyDescent="0.3">
      <c r="A56" s="116" t="s">
        <v>6</v>
      </c>
      <c r="B56" s="116" t="s">
        <v>6</v>
      </c>
      <c r="C56" s="132" t="s">
        <v>20</v>
      </c>
      <c r="D56" s="140"/>
      <c r="E56" s="116"/>
      <c r="F56" s="116"/>
      <c r="G56" s="141">
        <v>44806</v>
      </c>
      <c r="H56" s="120" t="s">
        <v>168</v>
      </c>
      <c r="I56" s="123" t="s">
        <v>33</v>
      </c>
      <c r="J56" s="229" t="s">
        <v>169</v>
      </c>
      <c r="K56" s="230">
        <v>0.41593012373920302</v>
      </c>
      <c r="L56" s="24" t="s">
        <v>394</v>
      </c>
      <c r="M56" s="70">
        <v>3.2471498371335505E-2</v>
      </c>
      <c r="N56" s="67">
        <v>0.18539291530944624</v>
      </c>
      <c r="O56" s="68">
        <v>1.0699206026058632</v>
      </c>
      <c r="P56" s="68">
        <v>1.5063925081433225</v>
      </c>
      <c r="Q56" s="68">
        <v>2.9939332247557005</v>
      </c>
      <c r="R56" s="68">
        <v>2.2794075732899026</v>
      </c>
      <c r="S56" s="67">
        <v>0.68722516286644952</v>
      </c>
      <c r="T56" s="68">
        <f t="shared" ref="T56:T81" si="49">SUM(M56:S56)</f>
        <v>8.7547434853420203</v>
      </c>
      <c r="U56" s="24">
        <f t="shared" si="31"/>
        <v>87.13423918465169</v>
      </c>
      <c r="V56" s="232">
        <f>0.5*0.0178135179153094</f>
        <v>8.9067589576546993E-3</v>
      </c>
      <c r="W56" s="232">
        <v>3.6079087102965257E-2</v>
      </c>
      <c r="X56" s="232">
        <v>2.446002149037238E-2</v>
      </c>
      <c r="Y56" s="232">
        <v>2.7910935815081295E-2</v>
      </c>
      <c r="Z56" s="232">
        <f>0.5*0.0178135179153094</f>
        <v>8.9067589576546993E-3</v>
      </c>
      <c r="AA56" s="232">
        <f>0.5*0.0178135179153094</f>
        <v>8.9067589576546993E-3</v>
      </c>
      <c r="AB56" s="232">
        <f>0.5*0.0178135179153094</f>
        <v>8.9067589576546993E-3</v>
      </c>
      <c r="AC56" s="231">
        <f>0.5*0.101791530944625</f>
        <v>5.0895765472312497E-2</v>
      </c>
      <c r="AD56" s="74">
        <v>8.8450044408418929E-2</v>
      </c>
      <c r="AE56" s="24">
        <f t="shared" si="24"/>
        <v>0.11517032128138302</v>
      </c>
      <c r="AF56" s="71">
        <f t="shared" si="42"/>
        <v>5.0000000000000001E-4</v>
      </c>
      <c r="AG56" s="25" t="s">
        <v>395</v>
      </c>
      <c r="AH56" s="68">
        <v>5.1397646375127133</v>
      </c>
      <c r="AI56" s="72">
        <f t="shared" ref="AI56:AI66" si="50">0.5*0.1</f>
        <v>0.05</v>
      </c>
      <c r="AJ56" s="72" t="s">
        <v>395</v>
      </c>
      <c r="AK56" s="134">
        <f t="shared" si="47"/>
        <v>0.05</v>
      </c>
      <c r="AL56" s="72">
        <f t="shared" ref="AL56:AL61" si="51">0.5*0.1</f>
        <v>0.05</v>
      </c>
      <c r="AM56" s="134">
        <v>0.11199089544287862</v>
      </c>
      <c r="AN56" s="67">
        <v>0.82059663906242442</v>
      </c>
      <c r="AO56" s="67">
        <v>0.19352026732529426</v>
      </c>
      <c r="AP56" s="134" t="s">
        <v>395</v>
      </c>
      <c r="AQ56" s="67">
        <v>0.19531212165238027</v>
      </c>
      <c r="AR56" s="72">
        <f t="shared" si="45"/>
        <v>0.05</v>
      </c>
      <c r="AS56" s="134">
        <v>0.11039275509709914</v>
      </c>
      <c r="AT56" s="134">
        <v>3.0848951523076193E-2</v>
      </c>
      <c r="AU56" s="134">
        <f>0.5*0.1</f>
        <v>0.05</v>
      </c>
      <c r="AV56" s="134">
        <f t="shared" si="46"/>
        <v>0.05</v>
      </c>
      <c r="AW56" s="134">
        <f t="shared" si="46"/>
        <v>0.05</v>
      </c>
      <c r="AX56" s="134" t="s">
        <v>395</v>
      </c>
      <c r="AY56" s="134" t="s">
        <v>395</v>
      </c>
      <c r="AZ56" s="134" t="s">
        <v>395</v>
      </c>
      <c r="BA56" s="134" t="s">
        <v>395</v>
      </c>
      <c r="BB56" s="134" t="s">
        <v>395</v>
      </c>
      <c r="BC56" s="24" t="s">
        <v>395</v>
      </c>
      <c r="BD56" s="24" t="s">
        <v>395</v>
      </c>
      <c r="BE56" s="24" t="s">
        <v>395</v>
      </c>
      <c r="BF56" s="24" t="s">
        <v>395</v>
      </c>
      <c r="BG56" s="24" t="s">
        <v>395</v>
      </c>
      <c r="BH56" s="24" t="s">
        <v>395</v>
      </c>
      <c r="BI56" s="24" t="s">
        <v>395</v>
      </c>
      <c r="BJ56" s="24" t="s">
        <v>395</v>
      </c>
      <c r="BK56" s="24" t="s">
        <v>395</v>
      </c>
      <c r="BL56" s="24" t="s">
        <v>395</v>
      </c>
      <c r="BM56" s="24" t="s">
        <v>395</v>
      </c>
      <c r="BN56" s="54">
        <v>49</v>
      </c>
      <c r="BO56" s="136" t="s">
        <v>395</v>
      </c>
      <c r="BP56" s="136" t="s">
        <v>395</v>
      </c>
      <c r="BQ56" s="136" t="s">
        <v>395</v>
      </c>
      <c r="BR56" s="136" t="s">
        <v>395</v>
      </c>
      <c r="BS56" s="136" t="s">
        <v>395</v>
      </c>
      <c r="BT56" s="136" t="s">
        <v>395</v>
      </c>
      <c r="BU56" s="136" t="s">
        <v>395</v>
      </c>
      <c r="BV56" s="136" t="s">
        <v>395</v>
      </c>
      <c r="BW56" s="136" t="s">
        <v>395</v>
      </c>
      <c r="BX56" s="136" t="s">
        <v>395</v>
      </c>
      <c r="BY56" s="136" t="s">
        <v>395</v>
      </c>
      <c r="BZ56" s="136" t="s">
        <v>395</v>
      </c>
      <c r="CA56" s="136" t="s">
        <v>395</v>
      </c>
      <c r="CB56" s="136" t="s">
        <v>395</v>
      </c>
      <c r="CC56" s="136" t="s">
        <v>395</v>
      </c>
      <c r="CD56" s="136" t="s">
        <v>395</v>
      </c>
      <c r="CE56" s="136" t="s">
        <v>395</v>
      </c>
      <c r="CF56" s="136" t="s">
        <v>395</v>
      </c>
      <c r="CG56" s="136" t="s">
        <v>395</v>
      </c>
      <c r="CH56" s="136" t="s">
        <v>395</v>
      </c>
      <c r="CI56" s="136" t="s">
        <v>395</v>
      </c>
      <c r="CJ56" s="136" t="s">
        <v>395</v>
      </c>
      <c r="CK56" s="136" t="s">
        <v>395</v>
      </c>
      <c r="CL56" s="136" t="s">
        <v>395</v>
      </c>
      <c r="CM56" s="136" t="s">
        <v>395</v>
      </c>
      <c r="CN56" s="136" t="s">
        <v>395</v>
      </c>
      <c r="CO56" s="136" t="s">
        <v>395</v>
      </c>
      <c r="CP56" s="136" t="s">
        <v>395</v>
      </c>
      <c r="CQ56" s="136" t="s">
        <v>395</v>
      </c>
      <c r="CR56" s="136" t="s">
        <v>395</v>
      </c>
      <c r="CS56" s="136" t="s">
        <v>395</v>
      </c>
      <c r="CT56" s="136" t="s">
        <v>395</v>
      </c>
      <c r="CU56" s="136" t="s">
        <v>395</v>
      </c>
      <c r="CV56" s="136" t="s">
        <v>395</v>
      </c>
      <c r="CW56" s="136" t="s">
        <v>395</v>
      </c>
      <c r="CX56" s="136" t="s">
        <v>395</v>
      </c>
      <c r="CY56" s="137" t="s">
        <v>395</v>
      </c>
      <c r="CZ56" s="147"/>
      <c r="DA56" s="107"/>
      <c r="DB56" s="107"/>
      <c r="DC56" s="107"/>
      <c r="DD56" s="107"/>
      <c r="DE56" s="107"/>
      <c r="DF56" s="107"/>
      <c r="DG56" s="107"/>
      <c r="DH56" s="108"/>
    </row>
    <row r="57" spans="1:112" s="102" customFormat="1" x14ac:dyDescent="0.3">
      <c r="A57" s="117" t="s">
        <v>27</v>
      </c>
      <c r="B57" s="117" t="s">
        <v>27</v>
      </c>
      <c r="C57" s="132" t="s">
        <v>20</v>
      </c>
      <c r="D57" s="140"/>
      <c r="E57" s="117"/>
      <c r="F57" s="117"/>
      <c r="G57" s="141">
        <v>44834</v>
      </c>
      <c r="H57" s="120" t="s">
        <v>168</v>
      </c>
      <c r="I57" s="123" t="s">
        <v>33</v>
      </c>
      <c r="J57" s="229" t="s">
        <v>169</v>
      </c>
      <c r="K57" s="230">
        <v>0.51582886618794299</v>
      </c>
      <c r="L57" s="24" t="s">
        <v>394</v>
      </c>
      <c r="M57" s="70">
        <v>5.178982479425856E-2</v>
      </c>
      <c r="N57" s="67">
        <v>0.13174296698896459</v>
      </c>
      <c r="O57" s="67">
        <v>0.28788119387437938</v>
      </c>
      <c r="P57" s="67">
        <v>0.33433289594901477</v>
      </c>
      <c r="Q57" s="67">
        <v>0.87752754933174293</v>
      </c>
      <c r="R57" s="67">
        <v>0.6998270551042638</v>
      </c>
      <c r="S57" s="67">
        <v>0.19209611534401311</v>
      </c>
      <c r="T57" s="68">
        <f t="shared" si="49"/>
        <v>2.5751976013866371</v>
      </c>
      <c r="U57" s="24">
        <f t="shared" si="31"/>
        <v>21.72100915947151</v>
      </c>
      <c r="V57" s="232">
        <f>0.5*0.0179487179487179</f>
        <v>8.9743589743589494E-3</v>
      </c>
      <c r="W57" s="232">
        <v>1.5841208755653913E-2</v>
      </c>
      <c r="X57" s="232">
        <v>1.6775334087682645E-2</v>
      </c>
      <c r="Y57" s="232">
        <v>1.8881495558903508E-2</v>
      </c>
      <c r="Z57" s="232">
        <f>0.5*0.0179487179487179</f>
        <v>8.9743589743589494E-3</v>
      </c>
      <c r="AA57" s="232">
        <f>0.5*0.0179487179487179</f>
        <v>8.9743589743589494E-3</v>
      </c>
      <c r="AB57" s="232">
        <f>0.5*0.0179487179487179</f>
        <v>8.9743589743589494E-3</v>
      </c>
      <c r="AC57" s="231">
        <f>0.5*0.102564102564103</f>
        <v>5.1282051282051502E-2</v>
      </c>
      <c r="AD57" s="74">
        <v>5.2467198215785889E-2</v>
      </c>
      <c r="AE57" s="24">
        <f t="shared" si="24"/>
        <v>7.8421115325316898E-2</v>
      </c>
      <c r="AF57" s="71">
        <f t="shared" si="42"/>
        <v>5.0000000000000001E-4</v>
      </c>
      <c r="AG57" s="25" t="s">
        <v>395</v>
      </c>
      <c r="AH57" s="68">
        <v>4.3197291133181572</v>
      </c>
      <c r="AI57" s="72">
        <f t="shared" si="50"/>
        <v>0.05</v>
      </c>
      <c r="AJ57" s="72" t="s">
        <v>395</v>
      </c>
      <c r="AK57" s="72">
        <f t="shared" si="47"/>
        <v>0.05</v>
      </c>
      <c r="AL57" s="72">
        <f t="shared" si="51"/>
        <v>0.05</v>
      </c>
      <c r="AM57" s="72">
        <f>0.5*0.1</f>
        <v>0.05</v>
      </c>
      <c r="AN57" s="67">
        <v>0.20911354210841138</v>
      </c>
      <c r="AO57" s="72">
        <f>0.5*0.1</f>
        <v>0.05</v>
      </c>
      <c r="AP57" s="134" t="s">
        <v>395</v>
      </c>
      <c r="AQ57" s="67">
        <v>0.14859861926664755</v>
      </c>
      <c r="AR57" s="72">
        <f t="shared" si="45"/>
        <v>0.05</v>
      </c>
      <c r="AS57" s="72">
        <f>0.5*0.1</f>
        <v>0.05</v>
      </c>
      <c r="AT57" s="72">
        <f>0.5*0.1</f>
        <v>0.05</v>
      </c>
      <c r="AU57" s="72">
        <f>0.5*0.1</f>
        <v>0.05</v>
      </c>
      <c r="AV57" s="72">
        <f t="shared" si="46"/>
        <v>0.05</v>
      </c>
      <c r="AW57" s="72">
        <f t="shared" si="46"/>
        <v>0.05</v>
      </c>
      <c r="AX57" s="72" t="s">
        <v>395</v>
      </c>
      <c r="AY57" s="72" t="s">
        <v>395</v>
      </c>
      <c r="AZ57" s="72" t="s">
        <v>395</v>
      </c>
      <c r="BA57" s="72" t="s">
        <v>395</v>
      </c>
      <c r="BB57" s="72" t="s">
        <v>395</v>
      </c>
      <c r="BC57" s="24" t="s">
        <v>395</v>
      </c>
      <c r="BD57" s="24" t="s">
        <v>395</v>
      </c>
      <c r="BE57" s="24" t="s">
        <v>395</v>
      </c>
      <c r="BF57" s="24" t="s">
        <v>395</v>
      </c>
      <c r="BG57" s="24" t="s">
        <v>395</v>
      </c>
      <c r="BH57" s="24" t="s">
        <v>395</v>
      </c>
      <c r="BI57" s="24" t="s">
        <v>395</v>
      </c>
      <c r="BJ57" s="24" t="s">
        <v>395</v>
      </c>
      <c r="BK57" s="24" t="s">
        <v>395</v>
      </c>
      <c r="BL57" s="24" t="s">
        <v>395</v>
      </c>
      <c r="BM57" s="24" t="s">
        <v>395</v>
      </c>
      <c r="BN57" s="54">
        <v>87</v>
      </c>
      <c r="BO57" s="136" t="s">
        <v>395</v>
      </c>
      <c r="BP57" s="136" t="s">
        <v>395</v>
      </c>
      <c r="BQ57" s="136" t="s">
        <v>395</v>
      </c>
      <c r="BR57" s="136" t="s">
        <v>395</v>
      </c>
      <c r="BS57" s="136" t="s">
        <v>395</v>
      </c>
      <c r="BT57" s="136" t="s">
        <v>395</v>
      </c>
      <c r="BU57" s="136" t="s">
        <v>395</v>
      </c>
      <c r="BV57" s="136" t="s">
        <v>395</v>
      </c>
      <c r="BW57" s="136" t="s">
        <v>395</v>
      </c>
      <c r="BX57" s="136" t="s">
        <v>395</v>
      </c>
      <c r="BY57" s="136" t="s">
        <v>395</v>
      </c>
      <c r="BZ57" s="136" t="s">
        <v>395</v>
      </c>
      <c r="CA57" s="136" t="s">
        <v>395</v>
      </c>
      <c r="CB57" s="136" t="s">
        <v>395</v>
      </c>
      <c r="CC57" s="136" t="s">
        <v>395</v>
      </c>
      <c r="CD57" s="136" t="s">
        <v>395</v>
      </c>
      <c r="CE57" s="136" t="s">
        <v>395</v>
      </c>
      <c r="CF57" s="136" t="s">
        <v>395</v>
      </c>
      <c r="CG57" s="136" t="s">
        <v>395</v>
      </c>
      <c r="CH57" s="136" t="s">
        <v>395</v>
      </c>
      <c r="CI57" s="136" t="s">
        <v>395</v>
      </c>
      <c r="CJ57" s="136" t="s">
        <v>395</v>
      </c>
      <c r="CK57" s="136" t="s">
        <v>395</v>
      </c>
      <c r="CL57" s="136" t="s">
        <v>395</v>
      </c>
      <c r="CM57" s="136" t="s">
        <v>395</v>
      </c>
      <c r="CN57" s="136" t="s">
        <v>395</v>
      </c>
      <c r="CO57" s="136" t="s">
        <v>395</v>
      </c>
      <c r="CP57" s="136" t="s">
        <v>395</v>
      </c>
      <c r="CQ57" s="136" t="s">
        <v>395</v>
      </c>
      <c r="CR57" s="136" t="s">
        <v>395</v>
      </c>
      <c r="CS57" s="136" t="s">
        <v>395</v>
      </c>
      <c r="CT57" s="136" t="s">
        <v>395</v>
      </c>
      <c r="CU57" s="136" t="s">
        <v>395</v>
      </c>
      <c r="CV57" s="136" t="s">
        <v>395</v>
      </c>
      <c r="CW57" s="136" t="s">
        <v>395</v>
      </c>
      <c r="CX57" s="136" t="s">
        <v>395</v>
      </c>
      <c r="CY57" s="137" t="s">
        <v>395</v>
      </c>
      <c r="CZ57" s="147"/>
      <c r="DA57" s="107"/>
      <c r="DB57" s="107"/>
      <c r="DC57" s="107"/>
      <c r="DD57" s="107"/>
      <c r="DE57" s="107"/>
      <c r="DF57" s="107"/>
      <c r="DG57" s="107"/>
      <c r="DH57" s="108"/>
    </row>
    <row r="58" spans="1:112" s="102" customFormat="1" x14ac:dyDescent="0.3">
      <c r="A58" s="116" t="s">
        <v>81</v>
      </c>
      <c r="B58" s="116" t="s">
        <v>81</v>
      </c>
      <c r="C58" s="132" t="s">
        <v>20</v>
      </c>
      <c r="D58" s="140"/>
      <c r="E58" s="116"/>
      <c r="F58" s="116"/>
      <c r="G58" s="141">
        <v>44813</v>
      </c>
      <c r="H58" s="120" t="s">
        <v>168</v>
      </c>
      <c r="I58" s="123" t="s">
        <v>33</v>
      </c>
      <c r="J58" s="229" t="s">
        <v>169</v>
      </c>
      <c r="K58" s="230">
        <v>0.40243524920026702</v>
      </c>
      <c r="L58" s="24" t="s">
        <v>394</v>
      </c>
      <c r="M58" s="70">
        <v>4.3653949489521768E-2</v>
      </c>
      <c r="N58" s="67">
        <v>0.1193927995701236</v>
      </c>
      <c r="O58" s="67">
        <v>0.47203116603976353</v>
      </c>
      <c r="P58" s="67">
        <v>0.45265986029016658</v>
      </c>
      <c r="Q58" s="68">
        <v>1.592745835572273</v>
      </c>
      <c r="R58" s="68">
        <v>1.3136378291241269</v>
      </c>
      <c r="S58" s="67">
        <v>0.53753358409457286</v>
      </c>
      <c r="T58" s="68">
        <f t="shared" si="49"/>
        <v>4.531655024180548</v>
      </c>
      <c r="U58" s="24">
        <f t="shared" si="31"/>
        <v>50.678900170851072</v>
      </c>
      <c r="V58" s="232">
        <f>0.5*0.0188070929607738</f>
        <v>9.4035464803868991E-3</v>
      </c>
      <c r="W58" s="232">
        <v>6.1872480709374872E-2</v>
      </c>
      <c r="X58" s="232">
        <v>2.955590405494762E-2</v>
      </c>
      <c r="Y58" s="232">
        <v>5.6565942888473095E-2</v>
      </c>
      <c r="Z58" s="232">
        <f>0.5*0.0188070929607738</f>
        <v>9.4035464803868991E-3</v>
      </c>
      <c r="AA58" s="232">
        <v>2.2276320687443701E-2</v>
      </c>
      <c r="AB58" s="232">
        <v>1.8843948826419214E-2</v>
      </c>
      <c r="AC58" s="231">
        <f>0.5*0.107469102632993</f>
        <v>5.3734551316496501E-2</v>
      </c>
      <c r="AD58" s="231">
        <v>0.18911459716665849</v>
      </c>
      <c r="AE58" s="24">
        <f t="shared" si="24"/>
        <v>0.1985181436470454</v>
      </c>
      <c r="AF58" s="74">
        <v>2.5577646426652337E-2</v>
      </c>
      <c r="AG58" s="25">
        <f t="shared" ref="AG58:AG81" si="52">AF58*(5/K58)</f>
        <v>0.31778586092397604</v>
      </c>
      <c r="AH58" s="68">
        <v>5.9361627744371406</v>
      </c>
      <c r="AI58" s="72">
        <f t="shared" si="50"/>
        <v>0.05</v>
      </c>
      <c r="AJ58" s="72" t="s">
        <v>395</v>
      </c>
      <c r="AK58" s="134">
        <f t="shared" si="47"/>
        <v>0.05</v>
      </c>
      <c r="AL58" s="72">
        <f t="shared" si="51"/>
        <v>0.05</v>
      </c>
      <c r="AM58" s="72">
        <f>0.5*0.1</f>
        <v>0.05</v>
      </c>
      <c r="AN58" s="67">
        <v>0.72467720132382407</v>
      </c>
      <c r="AO58" s="67">
        <v>0.89344147671654306</v>
      </c>
      <c r="AP58" s="134" t="s">
        <v>395</v>
      </c>
      <c r="AQ58" s="67">
        <v>0.68477602200158472</v>
      </c>
      <c r="AR58" s="72">
        <f t="shared" si="45"/>
        <v>0.05</v>
      </c>
      <c r="AS58" s="68">
        <v>1.4016687642753924</v>
      </c>
      <c r="AT58" s="67">
        <v>0.18785251479979487</v>
      </c>
      <c r="AU58" s="67">
        <v>0.19304992308768004</v>
      </c>
      <c r="AV58" s="67">
        <f t="shared" ref="AV58:AV66" si="53">0.5*0.1</f>
        <v>0.05</v>
      </c>
      <c r="AW58" s="67">
        <v>0.10117466088658927</v>
      </c>
      <c r="AX58" s="67" t="s">
        <v>395</v>
      </c>
      <c r="AY58" s="67" t="s">
        <v>395</v>
      </c>
      <c r="AZ58" s="67" t="s">
        <v>395</v>
      </c>
      <c r="BA58" s="67" t="s">
        <v>395</v>
      </c>
      <c r="BB58" s="67" t="s">
        <v>395</v>
      </c>
      <c r="BC58" s="24" t="s">
        <v>395</v>
      </c>
      <c r="BD58" s="24" t="s">
        <v>395</v>
      </c>
      <c r="BE58" s="24" t="s">
        <v>395</v>
      </c>
      <c r="BF58" s="24" t="s">
        <v>395</v>
      </c>
      <c r="BG58" s="24" t="s">
        <v>395</v>
      </c>
      <c r="BH58" s="24" t="s">
        <v>395</v>
      </c>
      <c r="BI58" s="24" t="s">
        <v>395</v>
      </c>
      <c r="BJ58" s="24" t="s">
        <v>395</v>
      </c>
      <c r="BK58" s="24" t="s">
        <v>395</v>
      </c>
      <c r="BL58" s="24" t="s">
        <v>395</v>
      </c>
      <c r="BM58" s="24" t="s">
        <v>395</v>
      </c>
      <c r="BN58" s="54">
        <v>42</v>
      </c>
      <c r="BO58" s="136" t="s">
        <v>395</v>
      </c>
      <c r="BP58" s="136" t="s">
        <v>395</v>
      </c>
      <c r="BQ58" s="136" t="s">
        <v>395</v>
      </c>
      <c r="BR58" s="136" t="s">
        <v>395</v>
      </c>
      <c r="BS58" s="136" t="s">
        <v>395</v>
      </c>
      <c r="BT58" s="136" t="s">
        <v>395</v>
      </c>
      <c r="BU58" s="136" t="s">
        <v>395</v>
      </c>
      <c r="BV58" s="136" t="s">
        <v>395</v>
      </c>
      <c r="BW58" s="136" t="s">
        <v>395</v>
      </c>
      <c r="BX58" s="136" t="s">
        <v>395</v>
      </c>
      <c r="BY58" s="136" t="s">
        <v>395</v>
      </c>
      <c r="BZ58" s="136" t="s">
        <v>395</v>
      </c>
      <c r="CA58" s="136" t="s">
        <v>395</v>
      </c>
      <c r="CB58" s="136" t="s">
        <v>395</v>
      </c>
      <c r="CC58" s="136" t="s">
        <v>395</v>
      </c>
      <c r="CD58" s="136" t="s">
        <v>395</v>
      </c>
      <c r="CE58" s="136" t="s">
        <v>395</v>
      </c>
      <c r="CF58" s="136" t="s">
        <v>395</v>
      </c>
      <c r="CG58" s="136" t="s">
        <v>395</v>
      </c>
      <c r="CH58" s="136" t="s">
        <v>395</v>
      </c>
      <c r="CI58" s="136" t="s">
        <v>395</v>
      </c>
      <c r="CJ58" s="136" t="s">
        <v>395</v>
      </c>
      <c r="CK58" s="136" t="s">
        <v>395</v>
      </c>
      <c r="CL58" s="136" t="s">
        <v>395</v>
      </c>
      <c r="CM58" s="136" t="s">
        <v>395</v>
      </c>
      <c r="CN58" s="136" t="s">
        <v>395</v>
      </c>
      <c r="CO58" s="136" t="s">
        <v>395</v>
      </c>
      <c r="CP58" s="136" t="s">
        <v>395</v>
      </c>
      <c r="CQ58" s="136" t="s">
        <v>395</v>
      </c>
      <c r="CR58" s="136" t="s">
        <v>395</v>
      </c>
      <c r="CS58" s="136" t="s">
        <v>395</v>
      </c>
      <c r="CT58" s="136" t="s">
        <v>395</v>
      </c>
      <c r="CU58" s="136" t="s">
        <v>395</v>
      </c>
      <c r="CV58" s="136" t="s">
        <v>395</v>
      </c>
      <c r="CW58" s="136" t="s">
        <v>395</v>
      </c>
      <c r="CX58" s="136" t="s">
        <v>395</v>
      </c>
      <c r="CY58" s="137" t="s">
        <v>395</v>
      </c>
      <c r="CZ58" s="147"/>
      <c r="DA58" s="107"/>
      <c r="DB58" s="107"/>
      <c r="DC58" s="107"/>
      <c r="DD58" s="107"/>
      <c r="DE58" s="107"/>
      <c r="DF58" s="107"/>
      <c r="DG58" s="107"/>
      <c r="DH58" s="108"/>
    </row>
    <row r="59" spans="1:112" s="102" customFormat="1" x14ac:dyDescent="0.3">
      <c r="A59" s="118" t="s">
        <v>8</v>
      </c>
      <c r="B59" s="118" t="s">
        <v>8</v>
      </c>
      <c r="C59" s="132" t="s">
        <v>20</v>
      </c>
      <c r="D59" s="140"/>
      <c r="E59" s="118"/>
      <c r="F59" s="118"/>
      <c r="G59" s="141">
        <v>44820</v>
      </c>
      <c r="H59" s="120" t="s">
        <v>168</v>
      </c>
      <c r="I59" s="123" t="s">
        <v>33</v>
      </c>
      <c r="J59" s="229" t="s">
        <v>169</v>
      </c>
      <c r="K59" s="230">
        <v>0.39646233607808801</v>
      </c>
      <c r="L59" s="24" t="s">
        <v>394</v>
      </c>
      <c r="M59" s="70">
        <v>2.0055607043558854E-2</v>
      </c>
      <c r="N59" s="70">
        <v>5.1918443002780361E-2</v>
      </c>
      <c r="O59" s="67">
        <v>0.5350602409638554</v>
      </c>
      <c r="P59" s="67">
        <v>0.52607970342910104</v>
      </c>
      <c r="Q59" s="68">
        <v>2.7958850787766454</v>
      </c>
      <c r="R59" s="68">
        <v>1.9546617238183506</v>
      </c>
      <c r="S59" s="67">
        <v>0.94974976830398528</v>
      </c>
      <c r="T59" s="68">
        <f t="shared" si="49"/>
        <v>6.8334105653382773</v>
      </c>
      <c r="U59" s="24">
        <f t="shared" si="31"/>
        <v>79.545145754613017</v>
      </c>
      <c r="V59" s="232">
        <f>0.5*0.0162187210379981</f>
        <v>8.1093605189990498E-3</v>
      </c>
      <c r="W59" s="232">
        <v>2.6540667613952729E-2</v>
      </c>
      <c r="X59" s="232">
        <f>0.5*0.0129749768303985</f>
        <v>6.4874884151992496E-3</v>
      </c>
      <c r="Y59" s="232">
        <v>1.3718534759657274E-2</v>
      </c>
      <c r="Z59" s="232">
        <f>0.5*0.0162187210379981</f>
        <v>8.1093605189990498E-3</v>
      </c>
      <c r="AA59" s="232">
        <v>1.0654376932300475E-2</v>
      </c>
      <c r="AB59" s="232">
        <f>0.5*0.0162187210379981</f>
        <v>8.1093605189990498E-3</v>
      </c>
      <c r="AC59" s="231">
        <f>0.5*0.092678405931418</f>
        <v>4.6339202965709002E-2</v>
      </c>
      <c r="AD59" s="74">
        <v>5.0913579305910478E-2</v>
      </c>
      <c r="AE59" s="24">
        <f t="shared" si="24"/>
        <v>7.3619788759107838E-2</v>
      </c>
      <c r="AF59" s="71">
        <f>0.5*0.001</f>
        <v>5.0000000000000001E-4</v>
      </c>
      <c r="AG59" s="25" t="s">
        <v>395</v>
      </c>
      <c r="AH59" s="69">
        <v>20.813019390581722</v>
      </c>
      <c r="AI59" s="72">
        <f t="shared" si="50"/>
        <v>0.05</v>
      </c>
      <c r="AJ59" s="72" t="s">
        <v>395</v>
      </c>
      <c r="AK59" s="134">
        <f t="shared" si="47"/>
        <v>0.05</v>
      </c>
      <c r="AL59" s="72">
        <f t="shared" si="51"/>
        <v>0.05</v>
      </c>
      <c r="AM59" s="67">
        <v>0.17539845035930793</v>
      </c>
      <c r="AN59" s="68">
        <v>3.0304307679955045</v>
      </c>
      <c r="AO59" s="67">
        <v>0.5935806335059618</v>
      </c>
      <c r="AP59" s="134" t="s">
        <v>395</v>
      </c>
      <c r="AQ59" s="67">
        <v>0.80173832751214436</v>
      </c>
      <c r="AR59" s="72">
        <f t="shared" si="45"/>
        <v>0.05</v>
      </c>
      <c r="AS59" s="67">
        <v>0.50744710747119526</v>
      </c>
      <c r="AT59" s="67">
        <v>0.11734714360271392</v>
      </c>
      <c r="AU59" s="67">
        <f>0.5*0.1</f>
        <v>0.05</v>
      </c>
      <c r="AV59" s="67">
        <f t="shared" si="53"/>
        <v>0.05</v>
      </c>
      <c r="AW59" s="67">
        <f t="shared" ref="AW59:AW66" si="54">0.5*0.1</f>
        <v>0.05</v>
      </c>
      <c r="AX59" s="67" t="s">
        <v>395</v>
      </c>
      <c r="AY59" s="67" t="s">
        <v>395</v>
      </c>
      <c r="AZ59" s="67" t="s">
        <v>395</v>
      </c>
      <c r="BA59" s="67" t="s">
        <v>395</v>
      </c>
      <c r="BB59" s="67" t="s">
        <v>395</v>
      </c>
      <c r="BC59" s="24" t="s">
        <v>395</v>
      </c>
      <c r="BD59" s="24" t="s">
        <v>395</v>
      </c>
      <c r="BE59" s="24" t="s">
        <v>395</v>
      </c>
      <c r="BF59" s="24" t="s">
        <v>395</v>
      </c>
      <c r="BG59" s="24" t="s">
        <v>395</v>
      </c>
      <c r="BH59" s="24" t="s">
        <v>395</v>
      </c>
      <c r="BI59" s="24" t="s">
        <v>395</v>
      </c>
      <c r="BJ59" s="24" t="s">
        <v>395</v>
      </c>
      <c r="BK59" s="24" t="s">
        <v>395</v>
      </c>
      <c r="BL59" s="24" t="s">
        <v>395</v>
      </c>
      <c r="BM59" s="24" t="s">
        <v>395</v>
      </c>
      <c r="BN59" s="54">
        <v>64</v>
      </c>
      <c r="BO59" s="136" t="s">
        <v>395</v>
      </c>
      <c r="BP59" s="136" t="s">
        <v>395</v>
      </c>
      <c r="BQ59" s="136" t="s">
        <v>395</v>
      </c>
      <c r="BR59" s="136" t="s">
        <v>395</v>
      </c>
      <c r="BS59" s="136" t="s">
        <v>395</v>
      </c>
      <c r="BT59" s="136" t="s">
        <v>395</v>
      </c>
      <c r="BU59" s="136" t="s">
        <v>395</v>
      </c>
      <c r="BV59" s="136" t="s">
        <v>395</v>
      </c>
      <c r="BW59" s="136" t="s">
        <v>395</v>
      </c>
      <c r="BX59" s="136" t="s">
        <v>395</v>
      </c>
      <c r="BY59" s="136" t="s">
        <v>395</v>
      </c>
      <c r="BZ59" s="136" t="s">
        <v>395</v>
      </c>
      <c r="CA59" s="136" t="s">
        <v>395</v>
      </c>
      <c r="CB59" s="136" t="s">
        <v>395</v>
      </c>
      <c r="CC59" s="136" t="s">
        <v>395</v>
      </c>
      <c r="CD59" s="136" t="s">
        <v>395</v>
      </c>
      <c r="CE59" s="136" t="s">
        <v>395</v>
      </c>
      <c r="CF59" s="136" t="s">
        <v>395</v>
      </c>
      <c r="CG59" s="136" t="s">
        <v>395</v>
      </c>
      <c r="CH59" s="136" t="s">
        <v>395</v>
      </c>
      <c r="CI59" s="136" t="s">
        <v>395</v>
      </c>
      <c r="CJ59" s="136" t="s">
        <v>395</v>
      </c>
      <c r="CK59" s="136" t="s">
        <v>395</v>
      </c>
      <c r="CL59" s="136" t="s">
        <v>395</v>
      </c>
      <c r="CM59" s="136" t="s">
        <v>395</v>
      </c>
      <c r="CN59" s="136" t="s">
        <v>395</v>
      </c>
      <c r="CO59" s="136" t="s">
        <v>395</v>
      </c>
      <c r="CP59" s="136" t="s">
        <v>395</v>
      </c>
      <c r="CQ59" s="136" t="s">
        <v>395</v>
      </c>
      <c r="CR59" s="136" t="s">
        <v>395</v>
      </c>
      <c r="CS59" s="136" t="s">
        <v>395</v>
      </c>
      <c r="CT59" s="136" t="s">
        <v>395</v>
      </c>
      <c r="CU59" s="136" t="s">
        <v>395</v>
      </c>
      <c r="CV59" s="136" t="s">
        <v>395</v>
      </c>
      <c r="CW59" s="136" t="s">
        <v>395</v>
      </c>
      <c r="CX59" s="136" t="s">
        <v>395</v>
      </c>
      <c r="CY59" s="137" t="s">
        <v>395</v>
      </c>
      <c r="CZ59" s="147"/>
      <c r="DA59" s="107"/>
      <c r="DB59" s="107"/>
      <c r="DC59" s="107"/>
      <c r="DD59" s="107"/>
      <c r="DE59" s="107"/>
      <c r="DF59" s="107"/>
      <c r="DG59" s="107"/>
      <c r="DH59" s="108"/>
    </row>
    <row r="60" spans="1:112" s="102" customFormat="1" x14ac:dyDescent="0.3">
      <c r="A60" s="118" t="s">
        <v>22</v>
      </c>
      <c r="B60" s="118" t="s">
        <v>22</v>
      </c>
      <c r="C60" s="132" t="s">
        <v>20</v>
      </c>
      <c r="D60" s="140"/>
      <c r="E60" s="118"/>
      <c r="F60" s="118"/>
      <c r="G60" s="141">
        <v>44830</v>
      </c>
      <c r="H60" s="120" t="s">
        <v>168</v>
      </c>
      <c r="I60" s="123" t="s">
        <v>33</v>
      </c>
      <c r="J60" s="229" t="s">
        <v>169</v>
      </c>
      <c r="K60" s="230">
        <v>0.51059206952743696</v>
      </c>
      <c r="L60" s="24" t="s">
        <v>394</v>
      </c>
      <c r="M60" s="68">
        <v>1.1465076660988074</v>
      </c>
      <c r="N60" s="68">
        <v>2.6542589437819419</v>
      </c>
      <c r="O60" s="69">
        <v>10.303180011357183</v>
      </c>
      <c r="P60" s="68">
        <v>8.1858224493658902</v>
      </c>
      <c r="Q60" s="69">
        <v>25.053161082718152</v>
      </c>
      <c r="R60" s="69">
        <v>19.672932046185878</v>
      </c>
      <c r="S60" s="68">
        <v>7.9159473783834935</v>
      </c>
      <c r="T60" s="69">
        <f t="shared" si="49"/>
        <v>74.931809577891343</v>
      </c>
      <c r="U60" s="24">
        <f t="shared" si="31"/>
        <v>653.61362927454184</v>
      </c>
      <c r="V60" s="232">
        <f>0.5*0.016562559151997</f>
        <v>8.2812795759984997E-3</v>
      </c>
      <c r="W60" s="233">
        <v>0.2565892370534773</v>
      </c>
      <c r="X60" s="232">
        <v>9.4798373123809301E-2</v>
      </c>
      <c r="Y60" s="233">
        <v>0.22979497483952299</v>
      </c>
      <c r="Z60" s="232">
        <f>0.5*0.016562559151997</f>
        <v>8.2812795759984997E-3</v>
      </c>
      <c r="AA60" s="232">
        <v>4.5591257389560026E-2</v>
      </c>
      <c r="AB60" s="232">
        <v>3.5782643543380316E-2</v>
      </c>
      <c r="AC60" s="231">
        <f>0.5*0.0946431951542684</f>
        <v>4.7321597577134202E-2</v>
      </c>
      <c r="AD60" s="231">
        <v>0.66255648594974992</v>
      </c>
      <c r="AE60" s="24">
        <f t="shared" si="24"/>
        <v>0.67083776552574848</v>
      </c>
      <c r="AF60" s="74">
        <v>6.53038046564452E-3</v>
      </c>
      <c r="AG60" s="25">
        <f t="shared" si="52"/>
        <v>6.3949098070486252E-2</v>
      </c>
      <c r="AH60" s="68">
        <v>2.3253142059159577</v>
      </c>
      <c r="AI60" s="72">
        <f t="shared" si="50"/>
        <v>0.05</v>
      </c>
      <c r="AJ60" s="72" t="s">
        <v>395</v>
      </c>
      <c r="AK60" s="134">
        <f t="shared" si="47"/>
        <v>0.05</v>
      </c>
      <c r="AL60" s="72">
        <f t="shared" si="51"/>
        <v>0.05</v>
      </c>
      <c r="AM60" s="67">
        <v>0.13518259912826372</v>
      </c>
      <c r="AN60" s="67">
        <v>0.26877829969108374</v>
      </c>
      <c r="AO60" s="72">
        <f>0.5*0.1</f>
        <v>0.05</v>
      </c>
      <c r="AP60" s="134" t="s">
        <v>395</v>
      </c>
      <c r="AQ60" s="67">
        <v>0.19008928949261561</v>
      </c>
      <c r="AR60" s="72">
        <f t="shared" si="45"/>
        <v>0.05</v>
      </c>
      <c r="AS60" s="67">
        <v>0.15390800220049933</v>
      </c>
      <c r="AT60" s="67">
        <f>0.5*0.1</f>
        <v>0.05</v>
      </c>
      <c r="AU60" s="67">
        <f>0.5*0.1</f>
        <v>0.05</v>
      </c>
      <c r="AV60" s="67">
        <f t="shared" si="53"/>
        <v>0.05</v>
      </c>
      <c r="AW60" s="67">
        <f t="shared" si="54"/>
        <v>0.05</v>
      </c>
      <c r="AX60" s="67" t="s">
        <v>395</v>
      </c>
      <c r="AY60" s="67" t="s">
        <v>395</v>
      </c>
      <c r="AZ60" s="67" t="s">
        <v>395</v>
      </c>
      <c r="BA60" s="67" t="s">
        <v>395</v>
      </c>
      <c r="BB60" s="67" t="s">
        <v>395</v>
      </c>
      <c r="BC60" s="24" t="s">
        <v>395</v>
      </c>
      <c r="BD60" s="24" t="s">
        <v>395</v>
      </c>
      <c r="BE60" s="24" t="s">
        <v>395</v>
      </c>
      <c r="BF60" s="24" t="s">
        <v>395</v>
      </c>
      <c r="BG60" s="24" t="s">
        <v>395</v>
      </c>
      <c r="BH60" s="24" t="s">
        <v>395</v>
      </c>
      <c r="BI60" s="24" t="s">
        <v>395</v>
      </c>
      <c r="BJ60" s="24" t="s">
        <v>395</v>
      </c>
      <c r="BK60" s="24" t="s">
        <v>395</v>
      </c>
      <c r="BL60" s="24" t="s">
        <v>395</v>
      </c>
      <c r="BM60" s="24" t="s">
        <v>395</v>
      </c>
      <c r="BN60" s="54">
        <v>38</v>
      </c>
      <c r="BO60" s="136" t="s">
        <v>395</v>
      </c>
      <c r="BP60" s="136" t="s">
        <v>395</v>
      </c>
      <c r="BQ60" s="136" t="s">
        <v>395</v>
      </c>
      <c r="BR60" s="136" t="s">
        <v>395</v>
      </c>
      <c r="BS60" s="136" t="s">
        <v>395</v>
      </c>
      <c r="BT60" s="136" t="s">
        <v>395</v>
      </c>
      <c r="BU60" s="136" t="s">
        <v>395</v>
      </c>
      <c r="BV60" s="136" t="s">
        <v>395</v>
      </c>
      <c r="BW60" s="136" t="s">
        <v>395</v>
      </c>
      <c r="BX60" s="136" t="s">
        <v>395</v>
      </c>
      <c r="BY60" s="136" t="s">
        <v>395</v>
      </c>
      <c r="BZ60" s="136" t="s">
        <v>395</v>
      </c>
      <c r="CA60" s="136" t="s">
        <v>395</v>
      </c>
      <c r="CB60" s="136" t="s">
        <v>395</v>
      </c>
      <c r="CC60" s="136" t="s">
        <v>395</v>
      </c>
      <c r="CD60" s="136" t="s">
        <v>395</v>
      </c>
      <c r="CE60" s="136" t="s">
        <v>395</v>
      </c>
      <c r="CF60" s="136" t="s">
        <v>395</v>
      </c>
      <c r="CG60" s="136" t="s">
        <v>395</v>
      </c>
      <c r="CH60" s="136" t="s">
        <v>395</v>
      </c>
      <c r="CI60" s="136" t="s">
        <v>395</v>
      </c>
      <c r="CJ60" s="136" t="s">
        <v>395</v>
      </c>
      <c r="CK60" s="136" t="s">
        <v>395</v>
      </c>
      <c r="CL60" s="136" t="s">
        <v>395</v>
      </c>
      <c r="CM60" s="136" t="s">
        <v>395</v>
      </c>
      <c r="CN60" s="136" t="s">
        <v>395</v>
      </c>
      <c r="CO60" s="136" t="s">
        <v>395</v>
      </c>
      <c r="CP60" s="136" t="s">
        <v>395</v>
      </c>
      <c r="CQ60" s="136" t="s">
        <v>395</v>
      </c>
      <c r="CR60" s="136" t="s">
        <v>395</v>
      </c>
      <c r="CS60" s="136" t="s">
        <v>395</v>
      </c>
      <c r="CT60" s="136" t="s">
        <v>395</v>
      </c>
      <c r="CU60" s="136" t="s">
        <v>395</v>
      </c>
      <c r="CV60" s="136" t="s">
        <v>395</v>
      </c>
      <c r="CW60" s="136" t="s">
        <v>395</v>
      </c>
      <c r="CX60" s="136" t="s">
        <v>395</v>
      </c>
      <c r="CY60" s="137" t="s">
        <v>395</v>
      </c>
      <c r="CZ60" s="147"/>
      <c r="DA60" s="107"/>
      <c r="DB60" s="107"/>
      <c r="DC60" s="107"/>
      <c r="DD60" s="107"/>
      <c r="DE60" s="107"/>
      <c r="DF60" s="107"/>
      <c r="DG60" s="107"/>
      <c r="DH60" s="108"/>
    </row>
    <row r="61" spans="1:112" s="102" customFormat="1" x14ac:dyDescent="0.3">
      <c r="A61" s="118" t="s">
        <v>28</v>
      </c>
      <c r="B61" s="118" t="s">
        <v>28</v>
      </c>
      <c r="C61" s="132" t="s">
        <v>20</v>
      </c>
      <c r="D61" s="140"/>
      <c r="E61" s="118"/>
      <c r="F61" s="118"/>
      <c r="G61" s="141">
        <v>44833</v>
      </c>
      <c r="H61" s="120" t="s">
        <v>168</v>
      </c>
      <c r="I61" s="123" t="s">
        <v>33</v>
      </c>
      <c r="J61" s="229" t="s">
        <v>169</v>
      </c>
      <c r="K61" s="230">
        <v>0.57667663391711299</v>
      </c>
      <c r="L61" s="24" t="s">
        <v>394</v>
      </c>
      <c r="M61" s="67">
        <v>0.13136391562563995</v>
      </c>
      <c r="N61" s="67">
        <v>0.28834732746262542</v>
      </c>
      <c r="O61" s="68">
        <v>1.7478906409993857</v>
      </c>
      <c r="P61" s="68">
        <v>1.7940815072701208</v>
      </c>
      <c r="Q61" s="68">
        <v>4.7792033585910296</v>
      </c>
      <c r="R61" s="68">
        <v>4.2172127790292855</v>
      </c>
      <c r="S61" s="68">
        <v>1.1960065533483513</v>
      </c>
      <c r="T61" s="69">
        <f t="shared" si="49"/>
        <v>14.154106082326438</v>
      </c>
      <c r="U61" s="24">
        <f t="shared" si="31"/>
        <v>107.16599085262098</v>
      </c>
      <c r="V61" s="232">
        <f>0.5*0.0179193118984231</f>
        <v>8.95965594921155E-3</v>
      </c>
      <c r="W61" s="232">
        <v>5.6653830679887232E-2</v>
      </c>
      <c r="X61" s="232">
        <v>2.9493096449556166E-2</v>
      </c>
      <c r="Y61" s="232">
        <v>4.7986471723282971E-2</v>
      </c>
      <c r="Z61" s="232">
        <f>0.5*0.0179193118984231</f>
        <v>8.95965594921155E-3</v>
      </c>
      <c r="AA61" s="232">
        <v>2.2431520513929926E-2</v>
      </c>
      <c r="AB61" s="232">
        <v>1.2811869886250347E-2</v>
      </c>
      <c r="AC61" s="231">
        <f>0.5*0.102396067990989</f>
        <v>5.1198033995494503E-2</v>
      </c>
      <c r="AD61" s="231">
        <v>0.16937678925290667</v>
      </c>
      <c r="AE61" s="24">
        <f t="shared" si="24"/>
        <v>0.17833644520211822</v>
      </c>
      <c r="AF61" s="71">
        <f>0.5*0.001</f>
        <v>5.0000000000000001E-4</v>
      </c>
      <c r="AG61" s="25" t="s">
        <v>395</v>
      </c>
      <c r="AH61" s="68">
        <v>7.4791044776119424</v>
      </c>
      <c r="AI61" s="72">
        <f t="shared" si="50"/>
        <v>0.05</v>
      </c>
      <c r="AJ61" s="72" t="s">
        <v>395</v>
      </c>
      <c r="AK61" s="134">
        <f t="shared" si="47"/>
        <v>0.05</v>
      </c>
      <c r="AL61" s="72">
        <f t="shared" si="51"/>
        <v>0.05</v>
      </c>
      <c r="AM61" s="134">
        <v>7.7720095176292497E-2</v>
      </c>
      <c r="AN61" s="67">
        <v>0.41916504434350005</v>
      </c>
      <c r="AO61" s="67">
        <v>0.11992212848799484</v>
      </c>
      <c r="AP61" s="134" t="s">
        <v>395</v>
      </c>
      <c r="AQ61" s="67">
        <v>0.31101016655851188</v>
      </c>
      <c r="AR61" s="72">
        <f t="shared" si="45"/>
        <v>0.05</v>
      </c>
      <c r="AS61" s="67">
        <v>0.23930348258706477</v>
      </c>
      <c r="AT61" s="67">
        <v>0.11289206143197063</v>
      </c>
      <c r="AU61" s="67">
        <f>0.5*0.1</f>
        <v>0.05</v>
      </c>
      <c r="AV61" s="67">
        <f t="shared" si="53"/>
        <v>0.05</v>
      </c>
      <c r="AW61" s="67">
        <f t="shared" si="54"/>
        <v>0.05</v>
      </c>
      <c r="AX61" s="67" t="s">
        <v>395</v>
      </c>
      <c r="AY61" s="67" t="s">
        <v>395</v>
      </c>
      <c r="AZ61" s="67" t="s">
        <v>395</v>
      </c>
      <c r="BA61" s="67" t="s">
        <v>395</v>
      </c>
      <c r="BB61" s="67" t="s">
        <v>395</v>
      </c>
      <c r="BC61" s="24" t="s">
        <v>395</v>
      </c>
      <c r="BD61" s="24" t="s">
        <v>395</v>
      </c>
      <c r="BE61" s="24" t="s">
        <v>395</v>
      </c>
      <c r="BF61" s="24" t="s">
        <v>395</v>
      </c>
      <c r="BG61" s="24" t="s">
        <v>395</v>
      </c>
      <c r="BH61" s="24" t="s">
        <v>395</v>
      </c>
      <c r="BI61" s="24" t="s">
        <v>395</v>
      </c>
      <c r="BJ61" s="24" t="s">
        <v>395</v>
      </c>
      <c r="BK61" s="24" t="s">
        <v>395</v>
      </c>
      <c r="BL61" s="24" t="s">
        <v>395</v>
      </c>
      <c r="BM61" s="24" t="s">
        <v>395</v>
      </c>
      <c r="BN61" s="54">
        <v>100</v>
      </c>
      <c r="BO61" s="136" t="s">
        <v>395</v>
      </c>
      <c r="BP61" s="136" t="s">
        <v>395</v>
      </c>
      <c r="BQ61" s="136" t="s">
        <v>395</v>
      </c>
      <c r="BR61" s="136" t="s">
        <v>395</v>
      </c>
      <c r="BS61" s="136" t="s">
        <v>395</v>
      </c>
      <c r="BT61" s="136" t="s">
        <v>395</v>
      </c>
      <c r="BU61" s="136" t="s">
        <v>395</v>
      </c>
      <c r="BV61" s="136" t="s">
        <v>395</v>
      </c>
      <c r="BW61" s="136" t="s">
        <v>395</v>
      </c>
      <c r="BX61" s="136" t="s">
        <v>395</v>
      </c>
      <c r="BY61" s="136" t="s">
        <v>395</v>
      </c>
      <c r="BZ61" s="136" t="s">
        <v>395</v>
      </c>
      <c r="CA61" s="136" t="s">
        <v>395</v>
      </c>
      <c r="CB61" s="136" t="s">
        <v>395</v>
      </c>
      <c r="CC61" s="136" t="s">
        <v>395</v>
      </c>
      <c r="CD61" s="136" t="s">
        <v>395</v>
      </c>
      <c r="CE61" s="136" t="s">
        <v>395</v>
      </c>
      <c r="CF61" s="136" t="s">
        <v>395</v>
      </c>
      <c r="CG61" s="136" t="s">
        <v>395</v>
      </c>
      <c r="CH61" s="136" t="s">
        <v>395</v>
      </c>
      <c r="CI61" s="136" t="s">
        <v>395</v>
      </c>
      <c r="CJ61" s="136" t="s">
        <v>395</v>
      </c>
      <c r="CK61" s="136" t="s">
        <v>395</v>
      </c>
      <c r="CL61" s="136" t="s">
        <v>395</v>
      </c>
      <c r="CM61" s="136" t="s">
        <v>395</v>
      </c>
      <c r="CN61" s="136" t="s">
        <v>395</v>
      </c>
      <c r="CO61" s="136" t="s">
        <v>395</v>
      </c>
      <c r="CP61" s="136" t="s">
        <v>395</v>
      </c>
      <c r="CQ61" s="136" t="s">
        <v>395</v>
      </c>
      <c r="CR61" s="136" t="s">
        <v>395</v>
      </c>
      <c r="CS61" s="136" t="s">
        <v>395</v>
      </c>
      <c r="CT61" s="136" t="s">
        <v>395</v>
      </c>
      <c r="CU61" s="136" t="s">
        <v>395</v>
      </c>
      <c r="CV61" s="136" t="s">
        <v>395</v>
      </c>
      <c r="CW61" s="136" t="s">
        <v>395</v>
      </c>
      <c r="CX61" s="136" t="s">
        <v>395</v>
      </c>
      <c r="CY61" s="137" t="s">
        <v>395</v>
      </c>
      <c r="CZ61" s="147"/>
      <c r="DA61" s="107"/>
      <c r="DB61" s="107"/>
      <c r="DC61" s="107"/>
      <c r="DD61" s="107"/>
      <c r="DE61" s="107"/>
      <c r="DF61" s="107"/>
      <c r="DG61" s="107"/>
      <c r="DH61" s="108"/>
    </row>
    <row r="62" spans="1:112" s="102" customFormat="1" x14ac:dyDescent="0.3">
      <c r="A62" s="118" t="s">
        <v>7</v>
      </c>
      <c r="B62" s="118" t="s">
        <v>7</v>
      </c>
      <c r="C62" s="132" t="s">
        <v>20</v>
      </c>
      <c r="D62" s="140"/>
      <c r="E62" s="118"/>
      <c r="F62" s="118"/>
      <c r="G62" s="141">
        <v>44805</v>
      </c>
      <c r="H62" s="120" t="s">
        <v>168</v>
      </c>
      <c r="I62" s="123" t="s">
        <v>33</v>
      </c>
      <c r="J62" s="229" t="s">
        <v>169</v>
      </c>
      <c r="K62" s="230">
        <v>0.42030748810972501</v>
      </c>
      <c r="L62" s="24" t="s">
        <v>394</v>
      </c>
      <c r="M62" s="70">
        <v>3.8028020646792372E-2</v>
      </c>
      <c r="N62" s="67">
        <v>0.30022121563257137</v>
      </c>
      <c r="O62" s="68">
        <v>1.2112293268724321</v>
      </c>
      <c r="P62" s="68">
        <v>1.2576846097124197</v>
      </c>
      <c r="Q62" s="68">
        <v>2.9304856209838825</v>
      </c>
      <c r="R62" s="68">
        <v>2.5492152112082587</v>
      </c>
      <c r="S62" s="67">
        <v>0.79883071737069422</v>
      </c>
      <c r="T62" s="68">
        <f t="shared" si="49"/>
        <v>9.0856947224270517</v>
      </c>
      <c r="U62" s="24">
        <f t="shared" si="31"/>
        <v>93.122420301384906</v>
      </c>
      <c r="V62" s="232">
        <f>0.5*0.018434636047614</f>
        <v>9.2173180238070002E-3</v>
      </c>
      <c r="W62" s="232">
        <v>7.8392038954930132E-2</v>
      </c>
      <c r="X62" s="232">
        <v>2.4567160400908603E-2</v>
      </c>
      <c r="Y62" s="232">
        <v>3.472760770576111E-2</v>
      </c>
      <c r="Z62" s="232">
        <f>0.5*0.018434636047614</f>
        <v>9.2173180238070002E-3</v>
      </c>
      <c r="AA62" s="232">
        <v>1.6627132404663909E-2</v>
      </c>
      <c r="AB62" s="232">
        <f>0.5*0.018434636047614</f>
        <v>9.2173180238070002E-3</v>
      </c>
      <c r="AC62" s="231">
        <f>0.5*0.105340777414937</f>
        <v>5.2670388707468499E-2</v>
      </c>
      <c r="AD62" s="231">
        <v>0.15431393946626376</v>
      </c>
      <c r="AE62" s="24">
        <f t="shared" si="24"/>
        <v>0.17274857551387773</v>
      </c>
      <c r="AF62" s="74">
        <v>6.6048667439165695E-2</v>
      </c>
      <c r="AG62" s="25">
        <f t="shared" si="52"/>
        <v>0.7857184241019648</v>
      </c>
      <c r="AH62" s="68">
        <v>3.9465571648666389</v>
      </c>
      <c r="AI62" s="72">
        <f t="shared" si="50"/>
        <v>0.05</v>
      </c>
      <c r="AJ62" s="72" t="s">
        <v>395</v>
      </c>
      <c r="AK62" s="134">
        <f t="shared" si="47"/>
        <v>0.05</v>
      </c>
      <c r="AL62" s="72">
        <f>0.5*0.15</f>
        <v>7.4999999999999997E-2</v>
      </c>
      <c r="AM62" s="67">
        <v>3.8357561846467721E-2</v>
      </c>
      <c r="AN62" s="68">
        <v>1.3714642958338799</v>
      </c>
      <c r="AO62" s="67">
        <v>0.25777555804216334</v>
      </c>
      <c r="AP62" s="134" t="s">
        <v>395</v>
      </c>
      <c r="AQ62" s="67">
        <v>0.61978268117562862</v>
      </c>
      <c r="AR62" s="72">
        <f t="shared" si="45"/>
        <v>0.05</v>
      </c>
      <c r="AS62" s="67">
        <v>0.92787484079251026</v>
      </c>
      <c r="AT62" s="67">
        <v>0.20524574899965198</v>
      </c>
      <c r="AU62" s="67">
        <f>0.5*0.2</f>
        <v>0.1</v>
      </c>
      <c r="AV62" s="67">
        <f t="shared" si="53"/>
        <v>0.05</v>
      </c>
      <c r="AW62" s="67">
        <f t="shared" si="54"/>
        <v>0.05</v>
      </c>
      <c r="AX62" s="67" t="s">
        <v>395</v>
      </c>
      <c r="AY62" s="67" t="s">
        <v>395</v>
      </c>
      <c r="AZ62" s="67" t="s">
        <v>395</v>
      </c>
      <c r="BA62" s="67" t="s">
        <v>395</v>
      </c>
      <c r="BB62" s="67" t="s">
        <v>395</v>
      </c>
      <c r="BC62" s="24" t="s">
        <v>395</v>
      </c>
      <c r="BD62" s="24" t="s">
        <v>395</v>
      </c>
      <c r="BE62" s="24" t="s">
        <v>395</v>
      </c>
      <c r="BF62" s="24" t="s">
        <v>395</v>
      </c>
      <c r="BG62" s="24" t="s">
        <v>395</v>
      </c>
      <c r="BH62" s="24" t="s">
        <v>395</v>
      </c>
      <c r="BI62" s="24" t="s">
        <v>395</v>
      </c>
      <c r="BJ62" s="24" t="s">
        <v>395</v>
      </c>
      <c r="BK62" s="24" t="s">
        <v>395</v>
      </c>
      <c r="BL62" s="24" t="s">
        <v>395</v>
      </c>
      <c r="BM62" s="24" t="s">
        <v>395</v>
      </c>
      <c r="BN62" s="54">
        <v>190</v>
      </c>
      <c r="BO62" s="136" t="s">
        <v>395</v>
      </c>
      <c r="BP62" s="136" t="s">
        <v>395</v>
      </c>
      <c r="BQ62" s="136" t="s">
        <v>395</v>
      </c>
      <c r="BR62" s="136" t="s">
        <v>395</v>
      </c>
      <c r="BS62" s="136" t="s">
        <v>395</v>
      </c>
      <c r="BT62" s="136" t="s">
        <v>395</v>
      </c>
      <c r="BU62" s="136" t="s">
        <v>395</v>
      </c>
      <c r="BV62" s="136" t="s">
        <v>395</v>
      </c>
      <c r="BW62" s="136" t="s">
        <v>395</v>
      </c>
      <c r="BX62" s="136" t="s">
        <v>395</v>
      </c>
      <c r="BY62" s="136" t="s">
        <v>395</v>
      </c>
      <c r="BZ62" s="136" t="s">
        <v>395</v>
      </c>
      <c r="CA62" s="136" t="s">
        <v>395</v>
      </c>
      <c r="CB62" s="136" t="s">
        <v>395</v>
      </c>
      <c r="CC62" s="136" t="s">
        <v>395</v>
      </c>
      <c r="CD62" s="136" t="s">
        <v>395</v>
      </c>
      <c r="CE62" s="136" t="s">
        <v>395</v>
      </c>
      <c r="CF62" s="136" t="s">
        <v>395</v>
      </c>
      <c r="CG62" s="136" t="s">
        <v>395</v>
      </c>
      <c r="CH62" s="136" t="s">
        <v>395</v>
      </c>
      <c r="CI62" s="136" t="s">
        <v>395</v>
      </c>
      <c r="CJ62" s="136" t="s">
        <v>395</v>
      </c>
      <c r="CK62" s="136" t="s">
        <v>395</v>
      </c>
      <c r="CL62" s="136" t="s">
        <v>395</v>
      </c>
      <c r="CM62" s="136" t="s">
        <v>395</v>
      </c>
      <c r="CN62" s="136" t="s">
        <v>395</v>
      </c>
      <c r="CO62" s="136" t="s">
        <v>395</v>
      </c>
      <c r="CP62" s="136" t="s">
        <v>395</v>
      </c>
      <c r="CQ62" s="136" t="s">
        <v>395</v>
      </c>
      <c r="CR62" s="136" t="s">
        <v>395</v>
      </c>
      <c r="CS62" s="136" t="s">
        <v>395</v>
      </c>
      <c r="CT62" s="136" t="s">
        <v>395</v>
      </c>
      <c r="CU62" s="136" t="s">
        <v>395</v>
      </c>
      <c r="CV62" s="136" t="s">
        <v>395</v>
      </c>
      <c r="CW62" s="136" t="s">
        <v>395</v>
      </c>
      <c r="CX62" s="136" t="s">
        <v>395</v>
      </c>
      <c r="CY62" s="137" t="s">
        <v>395</v>
      </c>
      <c r="CZ62" s="147"/>
      <c r="DA62" s="107"/>
      <c r="DB62" s="107"/>
      <c r="DC62" s="107"/>
      <c r="DD62" s="107"/>
      <c r="DE62" s="107"/>
      <c r="DF62" s="107"/>
      <c r="DG62" s="107"/>
      <c r="DH62" s="108"/>
    </row>
    <row r="63" spans="1:112" s="102" customFormat="1" x14ac:dyDescent="0.3">
      <c r="A63" s="118" t="s">
        <v>21</v>
      </c>
      <c r="B63" s="118" t="s">
        <v>21</v>
      </c>
      <c r="C63" s="132" t="s">
        <v>20</v>
      </c>
      <c r="D63" s="140"/>
      <c r="E63" s="118"/>
      <c r="F63" s="118"/>
      <c r="G63" s="141">
        <v>44824</v>
      </c>
      <c r="H63" s="120" t="s">
        <v>168</v>
      </c>
      <c r="I63" s="123" t="s">
        <v>33</v>
      </c>
      <c r="J63" s="229" t="s">
        <v>169</v>
      </c>
      <c r="K63" s="230">
        <v>0.49905733614286002</v>
      </c>
      <c r="L63" s="24" t="s">
        <v>394</v>
      </c>
      <c r="M63" s="70">
        <v>3.3992219535274946E-2</v>
      </c>
      <c r="N63" s="67">
        <v>0.13652612764167807</v>
      </c>
      <c r="O63" s="68">
        <v>1.7141204920618234</v>
      </c>
      <c r="P63" s="68">
        <v>1.3181158658395542</v>
      </c>
      <c r="Q63" s="68">
        <v>7.7248028598464948</v>
      </c>
      <c r="R63" s="68">
        <v>6.0989801282725269</v>
      </c>
      <c r="S63" s="68">
        <v>2.4240878982231102</v>
      </c>
      <c r="T63" s="69">
        <f t="shared" si="49"/>
        <v>19.450625591420462</v>
      </c>
      <c r="U63" s="24">
        <f t="shared" si="31"/>
        <v>181.6676002172855</v>
      </c>
      <c r="V63" s="232">
        <f>0.5*0.0183997476606035</f>
        <v>9.19987383030175E-3</v>
      </c>
      <c r="W63" s="232">
        <v>9.8001948100962466E-2</v>
      </c>
      <c r="X63" s="232">
        <v>3.6597708759077328E-2</v>
      </c>
      <c r="Y63" s="232">
        <v>3.0187796470031027E-2</v>
      </c>
      <c r="Z63" s="232">
        <f>0.5*0.0183997476606035</f>
        <v>9.19987383030175E-3</v>
      </c>
      <c r="AA63" s="232">
        <v>2.5690656415779715E-2</v>
      </c>
      <c r="AB63" s="232">
        <v>1.9504204502099946E-2</v>
      </c>
      <c r="AC63" s="231">
        <f>0.5*0.105141415203449</f>
        <v>5.2570707601724498E-2</v>
      </c>
      <c r="AD63" s="231">
        <v>0.2099823142479505</v>
      </c>
      <c r="AE63" s="24">
        <f t="shared" si="24"/>
        <v>0.21918218807825224</v>
      </c>
      <c r="AF63" s="74">
        <v>2.7336767952896648E-3</v>
      </c>
      <c r="AG63" s="25">
        <f>AF63*(5/K63)</f>
        <v>2.7388404070139982E-2</v>
      </c>
      <c r="AH63" s="68">
        <v>8.9082893594282311</v>
      </c>
      <c r="AI63" s="72">
        <f t="shared" si="50"/>
        <v>0.05</v>
      </c>
      <c r="AJ63" s="72" t="s">
        <v>395</v>
      </c>
      <c r="AK63" s="134">
        <f t="shared" si="47"/>
        <v>0.05</v>
      </c>
      <c r="AL63" s="72">
        <f>0.5*0.15</f>
        <v>7.4999999999999997E-2</v>
      </c>
      <c r="AM63" s="72">
        <f t="shared" ref="AM63:AM68" si="55">0.5*0.1</f>
        <v>0.05</v>
      </c>
      <c r="AN63" s="67">
        <v>0.58012156836550677</v>
      </c>
      <c r="AO63" s="67">
        <v>0.32990448199853056</v>
      </c>
      <c r="AP63" s="134" t="s">
        <v>395</v>
      </c>
      <c r="AQ63" s="67">
        <v>0.37514750740320191</v>
      </c>
      <c r="AR63" s="72">
        <f t="shared" si="45"/>
        <v>0.05</v>
      </c>
      <c r="AS63" s="67">
        <v>0.2898492641328792</v>
      </c>
      <c r="AT63" s="67">
        <v>0.1664551466167925</v>
      </c>
      <c r="AU63" s="67">
        <f>0.5*0.2</f>
        <v>0.1</v>
      </c>
      <c r="AV63" s="67">
        <f t="shared" si="53"/>
        <v>0.05</v>
      </c>
      <c r="AW63" s="67">
        <f t="shared" si="54"/>
        <v>0.05</v>
      </c>
      <c r="AX63" s="67" t="s">
        <v>395</v>
      </c>
      <c r="AY63" s="67" t="s">
        <v>395</v>
      </c>
      <c r="AZ63" s="67" t="s">
        <v>395</v>
      </c>
      <c r="BA63" s="67" t="s">
        <v>395</v>
      </c>
      <c r="BB63" s="67" t="s">
        <v>395</v>
      </c>
      <c r="BC63" s="24" t="s">
        <v>395</v>
      </c>
      <c r="BD63" s="24" t="s">
        <v>395</v>
      </c>
      <c r="BE63" s="24" t="s">
        <v>395</v>
      </c>
      <c r="BF63" s="24" t="s">
        <v>395</v>
      </c>
      <c r="BG63" s="24" t="s">
        <v>395</v>
      </c>
      <c r="BH63" s="24" t="s">
        <v>395</v>
      </c>
      <c r="BI63" s="24" t="s">
        <v>395</v>
      </c>
      <c r="BJ63" s="24" t="s">
        <v>395</v>
      </c>
      <c r="BK63" s="24" t="s">
        <v>395</v>
      </c>
      <c r="BL63" s="24" t="s">
        <v>395</v>
      </c>
      <c r="BM63" s="24" t="s">
        <v>395</v>
      </c>
      <c r="BN63" s="54">
        <v>78</v>
      </c>
      <c r="BO63" s="136" t="s">
        <v>395</v>
      </c>
      <c r="BP63" s="136" t="s">
        <v>395</v>
      </c>
      <c r="BQ63" s="136" t="s">
        <v>395</v>
      </c>
      <c r="BR63" s="136" t="s">
        <v>395</v>
      </c>
      <c r="BS63" s="136" t="s">
        <v>395</v>
      </c>
      <c r="BT63" s="136" t="s">
        <v>395</v>
      </c>
      <c r="BU63" s="136" t="s">
        <v>395</v>
      </c>
      <c r="BV63" s="136" t="s">
        <v>395</v>
      </c>
      <c r="BW63" s="136" t="s">
        <v>395</v>
      </c>
      <c r="BX63" s="136" t="s">
        <v>395</v>
      </c>
      <c r="BY63" s="136" t="s">
        <v>395</v>
      </c>
      <c r="BZ63" s="136" t="s">
        <v>395</v>
      </c>
      <c r="CA63" s="136" t="s">
        <v>395</v>
      </c>
      <c r="CB63" s="136" t="s">
        <v>395</v>
      </c>
      <c r="CC63" s="136" t="s">
        <v>395</v>
      </c>
      <c r="CD63" s="136" t="s">
        <v>395</v>
      </c>
      <c r="CE63" s="136" t="s">
        <v>395</v>
      </c>
      <c r="CF63" s="136" t="s">
        <v>395</v>
      </c>
      <c r="CG63" s="136" t="s">
        <v>395</v>
      </c>
      <c r="CH63" s="136" t="s">
        <v>395</v>
      </c>
      <c r="CI63" s="136" t="s">
        <v>395</v>
      </c>
      <c r="CJ63" s="136" t="s">
        <v>395</v>
      </c>
      <c r="CK63" s="136" t="s">
        <v>395</v>
      </c>
      <c r="CL63" s="136" t="s">
        <v>395</v>
      </c>
      <c r="CM63" s="136" t="s">
        <v>395</v>
      </c>
      <c r="CN63" s="136" t="s">
        <v>395</v>
      </c>
      <c r="CO63" s="136" t="s">
        <v>395</v>
      </c>
      <c r="CP63" s="136" t="s">
        <v>395</v>
      </c>
      <c r="CQ63" s="136" t="s">
        <v>395</v>
      </c>
      <c r="CR63" s="136" t="s">
        <v>395</v>
      </c>
      <c r="CS63" s="136" t="s">
        <v>395</v>
      </c>
      <c r="CT63" s="136" t="s">
        <v>395</v>
      </c>
      <c r="CU63" s="136" t="s">
        <v>395</v>
      </c>
      <c r="CV63" s="136" t="s">
        <v>395</v>
      </c>
      <c r="CW63" s="136" t="s">
        <v>395</v>
      </c>
      <c r="CX63" s="136" t="s">
        <v>395</v>
      </c>
      <c r="CY63" s="137" t="s">
        <v>395</v>
      </c>
      <c r="CZ63" s="147"/>
      <c r="DA63" s="107"/>
      <c r="DB63" s="107"/>
      <c r="DC63" s="107"/>
      <c r="DD63" s="107"/>
      <c r="DE63" s="107"/>
      <c r="DF63" s="107"/>
      <c r="DG63" s="107"/>
      <c r="DH63" s="108"/>
    </row>
    <row r="64" spans="1:112" s="102" customFormat="1" x14ac:dyDescent="0.3">
      <c r="A64" s="118" t="s">
        <v>23</v>
      </c>
      <c r="B64" s="118" t="s">
        <v>23</v>
      </c>
      <c r="C64" s="132" t="s">
        <v>20</v>
      </c>
      <c r="D64" s="140"/>
      <c r="E64" s="118"/>
      <c r="F64" s="118"/>
      <c r="G64" s="141">
        <v>44797</v>
      </c>
      <c r="H64" s="120" t="s">
        <v>168</v>
      </c>
      <c r="I64" s="123" t="s">
        <v>33</v>
      </c>
      <c r="J64" s="229" t="s">
        <v>169</v>
      </c>
      <c r="K64" s="230">
        <v>0.442023026315782</v>
      </c>
      <c r="L64" s="24" t="s">
        <v>394</v>
      </c>
      <c r="M64" s="67">
        <v>0.27718755855349447</v>
      </c>
      <c r="N64" s="68">
        <v>1.6492598838298669</v>
      </c>
      <c r="O64" s="68">
        <v>6.5728592842420834</v>
      </c>
      <c r="P64" s="68">
        <v>4.4530728873899195</v>
      </c>
      <c r="Q64" s="68">
        <v>9.4289863219036913</v>
      </c>
      <c r="R64" s="68">
        <v>8.7423458872025481</v>
      </c>
      <c r="S64" s="68">
        <v>2.2187090125538695</v>
      </c>
      <c r="T64" s="69">
        <f t="shared" si="49"/>
        <v>33.342420835675469</v>
      </c>
      <c r="U64" s="24">
        <f t="shared" si="31"/>
        <v>326.78555446619373</v>
      </c>
      <c r="V64" s="232">
        <f>0.5*0.016394978452314</f>
        <v>8.1974892261569999E-3</v>
      </c>
      <c r="W64" s="232">
        <v>3.2531663622193251E-2</v>
      </c>
      <c r="X64" s="232">
        <v>1.409133186801247E-2</v>
      </c>
      <c r="Y64" s="232">
        <v>1.9448899161992841E-2</v>
      </c>
      <c r="Z64" s="232">
        <f>0.5*0.016394978452314</f>
        <v>8.1974892261569999E-3</v>
      </c>
      <c r="AA64" s="232">
        <f>0.5*0.016394978452314</f>
        <v>8.1974892261569999E-3</v>
      </c>
      <c r="AB64" s="232">
        <f>0.5*0.016394978452314</f>
        <v>8.1974892261569999E-3</v>
      </c>
      <c r="AC64" s="231">
        <v>0.22757699923579233</v>
      </c>
      <c r="AD64" s="231">
        <v>0.29364889388799087</v>
      </c>
      <c r="AE64" s="24">
        <f t="shared" si="24"/>
        <v>9.066436233066956E-2</v>
      </c>
      <c r="AF64" s="74">
        <v>8.4317032040472171E-3</v>
      </c>
      <c r="AG64" s="25">
        <f t="shared" si="52"/>
        <v>9.5376289266247347E-2</v>
      </c>
      <c r="AH64" s="69">
        <v>11.220625528317841</v>
      </c>
      <c r="AI64" s="72">
        <f t="shared" si="50"/>
        <v>0.05</v>
      </c>
      <c r="AJ64" s="72" t="s">
        <v>395</v>
      </c>
      <c r="AK64" s="134">
        <f t="shared" si="47"/>
        <v>0.05</v>
      </c>
      <c r="AL64" s="72">
        <f>0.5*0.15</f>
        <v>7.4999999999999997E-2</v>
      </c>
      <c r="AM64" s="72">
        <f t="shared" si="55"/>
        <v>0.05</v>
      </c>
      <c r="AN64" s="67">
        <v>0.67401828940290509</v>
      </c>
      <c r="AO64" s="67">
        <v>0.17390302005686628</v>
      </c>
      <c r="AP64" s="134" t="s">
        <v>395</v>
      </c>
      <c r="AQ64" s="67">
        <v>0.448653910192372</v>
      </c>
      <c r="AR64" s="72">
        <f t="shared" si="45"/>
        <v>0.05</v>
      </c>
      <c r="AS64" s="67">
        <v>0.82051282051282093</v>
      </c>
      <c r="AT64" s="67">
        <v>0.34158149542764937</v>
      </c>
      <c r="AU64" s="67">
        <f>0.5*0.2</f>
        <v>0.1</v>
      </c>
      <c r="AV64" s="67">
        <f t="shared" si="53"/>
        <v>0.05</v>
      </c>
      <c r="AW64" s="67">
        <f t="shared" si="54"/>
        <v>0.05</v>
      </c>
      <c r="AX64" s="67" t="s">
        <v>395</v>
      </c>
      <c r="AY64" s="67" t="s">
        <v>395</v>
      </c>
      <c r="AZ64" s="67" t="s">
        <v>395</v>
      </c>
      <c r="BA64" s="67" t="s">
        <v>395</v>
      </c>
      <c r="BB64" s="67" t="s">
        <v>395</v>
      </c>
      <c r="BC64" s="24" t="s">
        <v>395</v>
      </c>
      <c r="BD64" s="24" t="s">
        <v>395</v>
      </c>
      <c r="BE64" s="24" t="s">
        <v>395</v>
      </c>
      <c r="BF64" s="24" t="s">
        <v>395</v>
      </c>
      <c r="BG64" s="24" t="s">
        <v>395</v>
      </c>
      <c r="BH64" s="24" t="s">
        <v>395</v>
      </c>
      <c r="BI64" s="24" t="s">
        <v>395</v>
      </c>
      <c r="BJ64" s="24" t="s">
        <v>395</v>
      </c>
      <c r="BK64" s="24" t="s">
        <v>395</v>
      </c>
      <c r="BL64" s="24" t="s">
        <v>395</v>
      </c>
      <c r="BM64" s="24" t="s">
        <v>395</v>
      </c>
      <c r="BN64" s="54">
        <v>390</v>
      </c>
      <c r="BO64" s="136" t="s">
        <v>395</v>
      </c>
      <c r="BP64" s="136" t="s">
        <v>395</v>
      </c>
      <c r="BQ64" s="136" t="s">
        <v>395</v>
      </c>
      <c r="BR64" s="136" t="s">
        <v>395</v>
      </c>
      <c r="BS64" s="136" t="s">
        <v>395</v>
      </c>
      <c r="BT64" s="136" t="s">
        <v>395</v>
      </c>
      <c r="BU64" s="136" t="s">
        <v>395</v>
      </c>
      <c r="BV64" s="136" t="s">
        <v>395</v>
      </c>
      <c r="BW64" s="136" t="s">
        <v>395</v>
      </c>
      <c r="BX64" s="136" t="s">
        <v>395</v>
      </c>
      <c r="BY64" s="136" t="s">
        <v>395</v>
      </c>
      <c r="BZ64" s="136" t="s">
        <v>395</v>
      </c>
      <c r="CA64" s="136" t="s">
        <v>395</v>
      </c>
      <c r="CB64" s="136" t="s">
        <v>395</v>
      </c>
      <c r="CC64" s="136" t="s">
        <v>395</v>
      </c>
      <c r="CD64" s="136" t="s">
        <v>395</v>
      </c>
      <c r="CE64" s="136" t="s">
        <v>395</v>
      </c>
      <c r="CF64" s="136" t="s">
        <v>395</v>
      </c>
      <c r="CG64" s="136" t="s">
        <v>395</v>
      </c>
      <c r="CH64" s="136" t="s">
        <v>395</v>
      </c>
      <c r="CI64" s="136" t="s">
        <v>395</v>
      </c>
      <c r="CJ64" s="136" t="s">
        <v>395</v>
      </c>
      <c r="CK64" s="136" t="s">
        <v>395</v>
      </c>
      <c r="CL64" s="136" t="s">
        <v>395</v>
      </c>
      <c r="CM64" s="136" t="s">
        <v>395</v>
      </c>
      <c r="CN64" s="136" t="s">
        <v>395</v>
      </c>
      <c r="CO64" s="136" t="s">
        <v>395</v>
      </c>
      <c r="CP64" s="136" t="s">
        <v>395</v>
      </c>
      <c r="CQ64" s="136" t="s">
        <v>395</v>
      </c>
      <c r="CR64" s="136" t="s">
        <v>395</v>
      </c>
      <c r="CS64" s="136" t="s">
        <v>395</v>
      </c>
      <c r="CT64" s="136" t="s">
        <v>395</v>
      </c>
      <c r="CU64" s="136" t="s">
        <v>395</v>
      </c>
      <c r="CV64" s="136" t="s">
        <v>395</v>
      </c>
      <c r="CW64" s="136" t="s">
        <v>395</v>
      </c>
      <c r="CX64" s="136" t="s">
        <v>395</v>
      </c>
      <c r="CY64" s="137" t="s">
        <v>395</v>
      </c>
      <c r="CZ64" s="147"/>
      <c r="DA64" s="107"/>
      <c r="DB64" s="107"/>
      <c r="DC64" s="107"/>
      <c r="DD64" s="107"/>
      <c r="DE64" s="107"/>
      <c r="DF64" s="107"/>
      <c r="DG64" s="107"/>
      <c r="DH64" s="108"/>
    </row>
    <row r="65" spans="1:112" s="102" customFormat="1" x14ac:dyDescent="0.3">
      <c r="A65" s="118" t="s">
        <v>5</v>
      </c>
      <c r="B65" s="118" t="s">
        <v>5</v>
      </c>
      <c r="C65" s="132" t="s">
        <v>20</v>
      </c>
      <c r="D65" s="140"/>
      <c r="E65" s="118"/>
      <c r="F65" s="118"/>
      <c r="G65" s="141">
        <v>44819</v>
      </c>
      <c r="H65" s="120" t="s">
        <v>168</v>
      </c>
      <c r="I65" s="123" t="s">
        <v>33</v>
      </c>
      <c r="J65" s="229" t="s">
        <v>169</v>
      </c>
      <c r="K65" s="230">
        <v>0.56092240573389496</v>
      </c>
      <c r="L65" s="24" t="s">
        <v>394</v>
      </c>
      <c r="M65" s="68">
        <v>1.9091693744922826</v>
      </c>
      <c r="N65" s="68">
        <v>3.705168562144598</v>
      </c>
      <c r="O65" s="69">
        <v>11.435428513403735</v>
      </c>
      <c r="P65" s="67">
        <v>9.6780767668562149</v>
      </c>
      <c r="Q65" s="69">
        <v>16.115465069049552</v>
      </c>
      <c r="R65" s="69">
        <v>15.075203086921201</v>
      </c>
      <c r="S65" s="68">
        <v>2.9742993501218522</v>
      </c>
      <c r="T65" s="69">
        <f t="shared" si="49"/>
        <v>60.892810722989431</v>
      </c>
      <c r="U65" s="24">
        <f t="shared" si="31"/>
        <v>456.52244795895888</v>
      </c>
      <c r="V65" s="232">
        <f>0.5*0.017770105605199</f>
        <v>8.8850528025994999E-3</v>
      </c>
      <c r="W65" s="232">
        <v>8.9237697767672083E-2</v>
      </c>
      <c r="X65" s="232">
        <v>4.8572417772277207E-2</v>
      </c>
      <c r="Y65" s="232">
        <v>0.10817321191757452</v>
      </c>
      <c r="Z65" s="232">
        <f>0.5*0.017770105605199</f>
        <v>8.8850528025994999E-3</v>
      </c>
      <c r="AA65" s="232">
        <v>2.5244875026380918E-2</v>
      </c>
      <c r="AB65" s="232">
        <v>2.2655520966523773E-2</v>
      </c>
      <c r="AC65" s="231">
        <v>0.11218151532684814</v>
      </c>
      <c r="AD65" s="231">
        <v>0.40606523877727663</v>
      </c>
      <c r="AE65" s="24">
        <f t="shared" si="24"/>
        <v>0.302768776253028</v>
      </c>
      <c r="AF65" s="74">
        <v>2.7416734362307065E-3</v>
      </c>
      <c r="AG65" s="25">
        <f t="shared" si="52"/>
        <v>2.4438972380177778E-2</v>
      </c>
      <c r="AH65" s="68">
        <v>3.7842987804878048</v>
      </c>
      <c r="AI65" s="72">
        <f t="shared" si="50"/>
        <v>0.05</v>
      </c>
      <c r="AJ65" s="72" t="s">
        <v>395</v>
      </c>
      <c r="AK65" s="134">
        <f t="shared" si="47"/>
        <v>0.05</v>
      </c>
      <c r="AL65" s="72">
        <f>0.5*0.15</f>
        <v>7.4999999999999997E-2</v>
      </c>
      <c r="AM65" s="72">
        <f t="shared" si="55"/>
        <v>0.05</v>
      </c>
      <c r="AN65" s="67">
        <v>0.21493902439024387</v>
      </c>
      <c r="AO65" s="67">
        <v>0.10428215077605321</v>
      </c>
      <c r="AP65" s="134" t="s">
        <v>395</v>
      </c>
      <c r="AQ65" s="67">
        <v>0.16056910569105692</v>
      </c>
      <c r="AR65" s="72">
        <f t="shared" si="45"/>
        <v>0.05</v>
      </c>
      <c r="AS65" s="67">
        <v>0.6337536954915004</v>
      </c>
      <c r="AT65" s="67">
        <v>0.23815133037694014</v>
      </c>
      <c r="AU65" s="67">
        <f>0.5*0.2</f>
        <v>0.1</v>
      </c>
      <c r="AV65" s="67">
        <f t="shared" si="53"/>
        <v>0.05</v>
      </c>
      <c r="AW65" s="67">
        <f t="shared" si="54"/>
        <v>0.05</v>
      </c>
      <c r="AX65" s="67" t="s">
        <v>395</v>
      </c>
      <c r="AY65" s="67" t="s">
        <v>395</v>
      </c>
      <c r="AZ65" s="67" t="s">
        <v>395</v>
      </c>
      <c r="BA65" s="67" t="s">
        <v>395</v>
      </c>
      <c r="BB65" s="67" t="s">
        <v>395</v>
      </c>
      <c r="BC65" s="24" t="s">
        <v>395</v>
      </c>
      <c r="BD65" s="24" t="s">
        <v>395</v>
      </c>
      <c r="BE65" s="24" t="s">
        <v>395</v>
      </c>
      <c r="BF65" s="24" t="s">
        <v>395</v>
      </c>
      <c r="BG65" s="24" t="s">
        <v>395</v>
      </c>
      <c r="BH65" s="24" t="s">
        <v>395</v>
      </c>
      <c r="BI65" s="24" t="s">
        <v>395</v>
      </c>
      <c r="BJ65" s="24" t="s">
        <v>395</v>
      </c>
      <c r="BK65" s="24" t="s">
        <v>395</v>
      </c>
      <c r="BL65" s="24" t="s">
        <v>395</v>
      </c>
      <c r="BM65" s="24" t="s">
        <v>395</v>
      </c>
      <c r="BN65" s="54">
        <v>110</v>
      </c>
      <c r="BO65" s="136" t="s">
        <v>395</v>
      </c>
      <c r="BP65" s="136" t="s">
        <v>395</v>
      </c>
      <c r="BQ65" s="136" t="s">
        <v>395</v>
      </c>
      <c r="BR65" s="136" t="s">
        <v>395</v>
      </c>
      <c r="BS65" s="136" t="s">
        <v>395</v>
      </c>
      <c r="BT65" s="136" t="s">
        <v>395</v>
      </c>
      <c r="BU65" s="136" t="s">
        <v>395</v>
      </c>
      <c r="BV65" s="136" t="s">
        <v>395</v>
      </c>
      <c r="BW65" s="136" t="s">
        <v>395</v>
      </c>
      <c r="BX65" s="136" t="s">
        <v>395</v>
      </c>
      <c r="BY65" s="136" t="s">
        <v>395</v>
      </c>
      <c r="BZ65" s="136" t="s">
        <v>395</v>
      </c>
      <c r="CA65" s="136" t="s">
        <v>395</v>
      </c>
      <c r="CB65" s="136" t="s">
        <v>395</v>
      </c>
      <c r="CC65" s="136" t="s">
        <v>395</v>
      </c>
      <c r="CD65" s="136" t="s">
        <v>395</v>
      </c>
      <c r="CE65" s="136" t="s">
        <v>395</v>
      </c>
      <c r="CF65" s="136" t="s">
        <v>395</v>
      </c>
      <c r="CG65" s="136" t="s">
        <v>395</v>
      </c>
      <c r="CH65" s="136" t="s">
        <v>395</v>
      </c>
      <c r="CI65" s="136" t="s">
        <v>395</v>
      </c>
      <c r="CJ65" s="136" t="s">
        <v>395</v>
      </c>
      <c r="CK65" s="136" t="s">
        <v>395</v>
      </c>
      <c r="CL65" s="136" t="s">
        <v>395</v>
      </c>
      <c r="CM65" s="136" t="s">
        <v>395</v>
      </c>
      <c r="CN65" s="136" t="s">
        <v>395</v>
      </c>
      <c r="CO65" s="136" t="s">
        <v>395</v>
      </c>
      <c r="CP65" s="136" t="s">
        <v>395</v>
      </c>
      <c r="CQ65" s="136" t="s">
        <v>395</v>
      </c>
      <c r="CR65" s="136" t="s">
        <v>395</v>
      </c>
      <c r="CS65" s="136" t="s">
        <v>395</v>
      </c>
      <c r="CT65" s="136" t="s">
        <v>395</v>
      </c>
      <c r="CU65" s="136" t="s">
        <v>395</v>
      </c>
      <c r="CV65" s="136" t="s">
        <v>395</v>
      </c>
      <c r="CW65" s="136" t="s">
        <v>395</v>
      </c>
      <c r="CX65" s="136" t="s">
        <v>395</v>
      </c>
      <c r="CY65" s="137" t="s">
        <v>395</v>
      </c>
      <c r="CZ65" s="147"/>
      <c r="DA65" s="107"/>
      <c r="DB65" s="107"/>
      <c r="DC65" s="107"/>
      <c r="DD65" s="107"/>
      <c r="DE65" s="107"/>
      <c r="DF65" s="107"/>
      <c r="DG65" s="107"/>
      <c r="DH65" s="108"/>
    </row>
    <row r="66" spans="1:112" s="102" customFormat="1" x14ac:dyDescent="0.3">
      <c r="A66" s="118" t="s">
        <v>167</v>
      </c>
      <c r="B66" s="118" t="s">
        <v>167</v>
      </c>
      <c r="C66" s="132" t="s">
        <v>20</v>
      </c>
      <c r="D66" s="140"/>
      <c r="E66" s="118"/>
      <c r="F66" s="118"/>
      <c r="G66" s="141">
        <v>44819</v>
      </c>
      <c r="H66" s="120" t="s">
        <v>168</v>
      </c>
      <c r="I66" s="123" t="s">
        <v>33</v>
      </c>
      <c r="J66" s="229" t="s">
        <v>169</v>
      </c>
      <c r="K66" s="230">
        <v>0.52541282436199299</v>
      </c>
      <c r="L66" s="24" t="s">
        <v>394</v>
      </c>
      <c r="M66" s="67">
        <v>0.40043976273266518</v>
      </c>
      <c r="N66" s="68">
        <v>1.4289527510738391</v>
      </c>
      <c r="O66" s="68">
        <v>5.0307527101656779</v>
      </c>
      <c r="P66" s="68">
        <v>4.382368582532215</v>
      </c>
      <c r="Q66" s="68">
        <v>8.3414604213540589</v>
      </c>
      <c r="R66" s="68">
        <v>6.2609736142360397</v>
      </c>
      <c r="S66" s="68">
        <v>1.4847105747596645</v>
      </c>
      <c r="T66" s="69">
        <f t="shared" si="49"/>
        <v>27.329658416854159</v>
      </c>
      <c r="U66" s="24">
        <f>SUM(M66,N66,O66,Q66,R66,S66)*(5/K66)</f>
        <v>218.37390305600897</v>
      </c>
      <c r="V66" s="232">
        <f>0.5*0.0178973205154428</f>
        <v>8.9486602577214004E-3</v>
      </c>
      <c r="W66" s="232">
        <v>5.4267768754741479E-2</v>
      </c>
      <c r="X66" s="232">
        <v>1.9133812488933991E-2</v>
      </c>
      <c r="Y66" s="232">
        <v>1.2703208291579626E-2</v>
      </c>
      <c r="Z66" s="232">
        <f>0.5*0.0178973205154428</f>
        <v>8.9486602577214004E-3</v>
      </c>
      <c r="AA66" s="232">
        <v>1.3314142023678813E-2</v>
      </c>
      <c r="AB66" s="232">
        <f>0.5*0.0178973205154428</f>
        <v>8.9486602577214004E-3</v>
      </c>
      <c r="AC66" s="74">
        <v>8.3859443016137764E-2</v>
      </c>
      <c r="AD66" s="67">
        <v>0.18327837457507168</v>
      </c>
      <c r="AE66" s="24">
        <f t="shared" si="24"/>
        <v>0.11731625207437671</v>
      </c>
      <c r="AF66" s="74">
        <v>1.7385968500715893E-3</v>
      </c>
      <c r="AG66" s="25">
        <f t="shared" si="52"/>
        <v>1.6545055330375324E-2</v>
      </c>
      <c r="AH66" s="68">
        <v>4.3768952647539061</v>
      </c>
      <c r="AI66" s="72">
        <f t="shared" si="50"/>
        <v>0.05</v>
      </c>
      <c r="AJ66" s="72" t="s">
        <v>395</v>
      </c>
      <c r="AK66" s="134">
        <f t="shared" si="47"/>
        <v>0.05</v>
      </c>
      <c r="AL66" s="72">
        <f>0.5*0.15</f>
        <v>7.4999999999999997E-2</v>
      </c>
      <c r="AM66" s="72">
        <f t="shared" si="55"/>
        <v>0.05</v>
      </c>
      <c r="AN66" s="134">
        <v>0.48588756706321429</v>
      </c>
      <c r="AO66" s="134">
        <v>0.25379052950781428</v>
      </c>
      <c r="AP66" s="134" t="s">
        <v>395</v>
      </c>
      <c r="AQ66" s="134">
        <v>0.33230308685172222</v>
      </c>
      <c r="AR66" s="72">
        <f t="shared" si="45"/>
        <v>0.05</v>
      </c>
      <c r="AS66" s="134">
        <v>0.58335277194619384</v>
      </c>
      <c r="AT66" s="134">
        <v>0.24865873571261951</v>
      </c>
      <c r="AU66" s="134">
        <f>0.5*0.2</f>
        <v>0.1</v>
      </c>
      <c r="AV66" s="67">
        <f t="shared" si="53"/>
        <v>0.05</v>
      </c>
      <c r="AW66" s="134">
        <f t="shared" si="54"/>
        <v>0.05</v>
      </c>
      <c r="AX66" s="134" t="s">
        <v>395</v>
      </c>
      <c r="AY66" s="134" t="s">
        <v>395</v>
      </c>
      <c r="AZ66" s="134" t="s">
        <v>395</v>
      </c>
      <c r="BA66" s="134" t="s">
        <v>395</v>
      </c>
      <c r="BB66" s="134" t="s">
        <v>395</v>
      </c>
      <c r="BC66" s="24" t="s">
        <v>395</v>
      </c>
      <c r="BD66" s="24" t="s">
        <v>395</v>
      </c>
      <c r="BE66" s="24" t="s">
        <v>395</v>
      </c>
      <c r="BF66" s="24" t="s">
        <v>395</v>
      </c>
      <c r="BG66" s="24" t="s">
        <v>395</v>
      </c>
      <c r="BH66" s="24" t="s">
        <v>395</v>
      </c>
      <c r="BI66" s="24" t="s">
        <v>395</v>
      </c>
      <c r="BJ66" s="24" t="s">
        <v>395</v>
      </c>
      <c r="BK66" s="24" t="s">
        <v>395</v>
      </c>
      <c r="BL66" s="24" t="s">
        <v>395</v>
      </c>
      <c r="BM66" s="24" t="s">
        <v>395</v>
      </c>
      <c r="BN66" s="54">
        <v>40</v>
      </c>
      <c r="BO66" s="136" t="s">
        <v>395</v>
      </c>
      <c r="BP66" s="136" t="s">
        <v>395</v>
      </c>
      <c r="BQ66" s="136" t="s">
        <v>395</v>
      </c>
      <c r="BR66" s="136" t="s">
        <v>395</v>
      </c>
      <c r="BS66" s="136" t="s">
        <v>395</v>
      </c>
      <c r="BT66" s="136" t="s">
        <v>395</v>
      </c>
      <c r="BU66" s="136" t="s">
        <v>395</v>
      </c>
      <c r="BV66" s="136" t="s">
        <v>395</v>
      </c>
      <c r="BW66" s="136" t="s">
        <v>395</v>
      </c>
      <c r="BX66" s="136" t="s">
        <v>395</v>
      </c>
      <c r="BY66" s="136" t="s">
        <v>395</v>
      </c>
      <c r="BZ66" s="136" t="s">
        <v>395</v>
      </c>
      <c r="CA66" s="136" t="s">
        <v>395</v>
      </c>
      <c r="CB66" s="136" t="s">
        <v>395</v>
      </c>
      <c r="CC66" s="136" t="s">
        <v>395</v>
      </c>
      <c r="CD66" s="136" t="s">
        <v>395</v>
      </c>
      <c r="CE66" s="136" t="s">
        <v>395</v>
      </c>
      <c r="CF66" s="136" t="s">
        <v>395</v>
      </c>
      <c r="CG66" s="136" t="s">
        <v>395</v>
      </c>
      <c r="CH66" s="136" t="s">
        <v>395</v>
      </c>
      <c r="CI66" s="136" t="s">
        <v>395</v>
      </c>
      <c r="CJ66" s="136" t="s">
        <v>395</v>
      </c>
      <c r="CK66" s="136" t="s">
        <v>395</v>
      </c>
      <c r="CL66" s="136" t="s">
        <v>395</v>
      </c>
      <c r="CM66" s="136" t="s">
        <v>395</v>
      </c>
      <c r="CN66" s="136" t="s">
        <v>395</v>
      </c>
      <c r="CO66" s="136" t="s">
        <v>395</v>
      </c>
      <c r="CP66" s="136" t="s">
        <v>395</v>
      </c>
      <c r="CQ66" s="136" t="s">
        <v>395</v>
      </c>
      <c r="CR66" s="136" t="s">
        <v>395</v>
      </c>
      <c r="CS66" s="136" t="s">
        <v>395</v>
      </c>
      <c r="CT66" s="136" t="s">
        <v>395</v>
      </c>
      <c r="CU66" s="136" t="s">
        <v>395</v>
      </c>
      <c r="CV66" s="136" t="s">
        <v>395</v>
      </c>
      <c r="CW66" s="136" t="s">
        <v>395</v>
      </c>
      <c r="CX66" s="136" t="s">
        <v>395</v>
      </c>
      <c r="CY66" s="137" t="s">
        <v>395</v>
      </c>
      <c r="CZ66" s="147"/>
      <c r="DA66" s="107"/>
      <c r="DB66" s="107"/>
      <c r="DC66" s="107"/>
      <c r="DD66" s="107"/>
      <c r="DE66" s="107"/>
      <c r="DF66" s="107"/>
      <c r="DG66" s="107"/>
      <c r="DH66" s="108"/>
    </row>
    <row r="67" spans="1:112" x14ac:dyDescent="0.3">
      <c r="A67" s="93" t="s">
        <v>4</v>
      </c>
      <c r="B67" s="93" t="s">
        <v>4</v>
      </c>
      <c r="C67" s="14" t="s">
        <v>20</v>
      </c>
      <c r="G67" s="22">
        <v>44483</v>
      </c>
      <c r="H67" s="16">
        <v>2021</v>
      </c>
      <c r="I67" s="121" t="s">
        <v>33</v>
      </c>
      <c r="J67" s="121">
        <v>10</v>
      </c>
      <c r="K67" s="124">
        <v>0.85</v>
      </c>
      <c r="L67" s="5" t="s">
        <v>394</v>
      </c>
      <c r="M67" s="67">
        <v>0.49893779904306224</v>
      </c>
      <c r="N67" s="68">
        <v>1.1133397129186604</v>
      </c>
      <c r="O67" s="68">
        <v>3.7973588516746415</v>
      </c>
      <c r="P67" s="68">
        <v>3.4587846889952156</v>
      </c>
      <c r="Q67" s="68">
        <v>7.6062679425837327</v>
      </c>
      <c r="R67" s="68">
        <v>6.8954928229665082</v>
      </c>
      <c r="S67" s="68">
        <v>2.1574736842105264</v>
      </c>
      <c r="T67" s="69">
        <f t="shared" si="49"/>
        <v>25.527655502392346</v>
      </c>
      <c r="U67" s="5">
        <f t="shared" ref="U67:U130" si="56">SUM(M67,N67,O67,Q67,R67,S67)*(5/K67)</f>
        <v>129.81688713763018</v>
      </c>
      <c r="V67" s="70">
        <v>7.7000000000000002E-3</v>
      </c>
      <c r="W67" s="67">
        <v>0.19</v>
      </c>
      <c r="X67" s="70">
        <v>5.6000000000000001E-2</v>
      </c>
      <c r="Y67" s="67">
        <v>0.13</v>
      </c>
      <c r="Z67" s="73">
        <f>0.5*0.024</f>
        <v>1.2E-2</v>
      </c>
      <c r="AA67" s="70">
        <v>2.8000000000000001E-2</v>
      </c>
      <c r="AB67" s="70">
        <v>2.3E-2</v>
      </c>
      <c r="AC67" s="67">
        <f>0.5*0.1</f>
        <v>0.05</v>
      </c>
      <c r="AD67" s="67">
        <v>0.43470000000000009</v>
      </c>
      <c r="AE67" s="5">
        <f>SUM(V67,W67,Y67,X67,AB67,AA67)</f>
        <v>0.43470000000000003</v>
      </c>
      <c r="AF67" s="71">
        <v>4.2296650717703353E-2</v>
      </c>
      <c r="AG67" s="250">
        <f t="shared" si="52"/>
        <v>0.24880382775119622</v>
      </c>
      <c r="AH67" s="84">
        <v>23.498233673046133</v>
      </c>
      <c r="AI67" s="85">
        <f t="shared" ref="AI67:AI77" si="57">0.5*0.15</f>
        <v>7.4999999999999997E-2</v>
      </c>
      <c r="AJ67" s="205" t="s">
        <v>395</v>
      </c>
      <c r="AK67" s="85" t="s">
        <v>395</v>
      </c>
      <c r="AL67" s="85">
        <f t="shared" ref="AL67:AL82" si="58">0.5*0.1</f>
        <v>0.05</v>
      </c>
      <c r="AM67" s="85">
        <f t="shared" si="55"/>
        <v>0.05</v>
      </c>
      <c r="AN67" s="86">
        <v>1.8116525834161761</v>
      </c>
      <c r="AO67" s="85">
        <f>0.5*0.15</f>
        <v>7.4999999999999997E-2</v>
      </c>
      <c r="AP67" s="16" t="s">
        <v>395</v>
      </c>
      <c r="AQ67" s="85">
        <v>0.85981041778185618</v>
      </c>
      <c r="AR67" s="85">
        <f t="shared" ref="AR67:AR72" si="59">0.5*0.2</f>
        <v>0.1</v>
      </c>
      <c r="AS67" s="86">
        <v>2.2384839041945002</v>
      </c>
      <c r="AT67" s="85">
        <v>0.64320530957661037</v>
      </c>
      <c r="AU67" s="85">
        <v>0.65453016051777246</v>
      </c>
      <c r="AV67" s="85">
        <f t="shared" ref="AV67:AV82" si="60">0.5*0.15</f>
        <v>7.4999999999999997E-2</v>
      </c>
      <c r="AW67" s="84">
        <f>0.5*0.112</f>
        <v>5.6000000000000001E-2</v>
      </c>
      <c r="AX67" s="84" t="s">
        <v>395</v>
      </c>
      <c r="AY67" s="84" t="s">
        <v>395</v>
      </c>
      <c r="AZ67" s="84" t="s">
        <v>395</v>
      </c>
      <c r="BA67" s="84" t="s">
        <v>395</v>
      </c>
      <c r="BB67" s="84" t="s">
        <v>395</v>
      </c>
      <c r="BC67" s="5" t="s">
        <v>395</v>
      </c>
      <c r="BD67" s="5" t="s">
        <v>395</v>
      </c>
      <c r="BE67" s="5" t="s">
        <v>395</v>
      </c>
      <c r="BF67" s="5" t="s">
        <v>395</v>
      </c>
      <c r="BG67" s="5" t="s">
        <v>395</v>
      </c>
      <c r="BH67" s="5" t="s">
        <v>395</v>
      </c>
      <c r="BI67" s="5" t="s">
        <v>395</v>
      </c>
      <c r="BJ67" s="5" t="s">
        <v>395</v>
      </c>
      <c r="BK67" s="5" t="s">
        <v>395</v>
      </c>
      <c r="BL67" s="5" t="s">
        <v>395</v>
      </c>
      <c r="BM67" s="5" t="s">
        <v>395</v>
      </c>
      <c r="BN67" s="1">
        <v>110</v>
      </c>
      <c r="BO67" s="57" t="s">
        <v>395</v>
      </c>
      <c r="BP67" s="57" t="s">
        <v>395</v>
      </c>
      <c r="BQ67" s="57" t="s">
        <v>395</v>
      </c>
      <c r="BR67" s="57" t="s">
        <v>395</v>
      </c>
      <c r="BS67" s="57" t="s">
        <v>395</v>
      </c>
      <c r="BT67" s="57" t="s">
        <v>395</v>
      </c>
      <c r="BU67" s="57" t="s">
        <v>395</v>
      </c>
      <c r="BV67" s="57" t="s">
        <v>395</v>
      </c>
      <c r="BW67" s="57" t="s">
        <v>395</v>
      </c>
      <c r="BX67" s="57" t="s">
        <v>395</v>
      </c>
      <c r="BY67" s="57" t="s">
        <v>395</v>
      </c>
      <c r="BZ67" s="57" t="s">
        <v>395</v>
      </c>
      <c r="CA67" s="57" t="s">
        <v>395</v>
      </c>
      <c r="CB67" s="57" t="s">
        <v>395</v>
      </c>
      <c r="CC67" s="57" t="s">
        <v>395</v>
      </c>
      <c r="CD67" s="57" t="s">
        <v>395</v>
      </c>
      <c r="CE67" s="57" t="s">
        <v>395</v>
      </c>
      <c r="CF67" s="57" t="s">
        <v>395</v>
      </c>
      <c r="CG67" s="57" t="s">
        <v>395</v>
      </c>
      <c r="CH67" s="57" t="s">
        <v>395</v>
      </c>
      <c r="CI67" s="57" t="s">
        <v>395</v>
      </c>
      <c r="CJ67" s="57" t="s">
        <v>395</v>
      </c>
      <c r="CK67" s="57" t="s">
        <v>395</v>
      </c>
      <c r="CL67" s="57" t="s">
        <v>395</v>
      </c>
      <c r="CM67" s="57" t="s">
        <v>395</v>
      </c>
      <c r="CN67" s="57" t="s">
        <v>395</v>
      </c>
      <c r="CO67" s="57" t="s">
        <v>395</v>
      </c>
      <c r="CP67" s="57" t="s">
        <v>395</v>
      </c>
      <c r="CQ67" s="57" t="s">
        <v>395</v>
      </c>
      <c r="CR67" s="57" t="s">
        <v>395</v>
      </c>
      <c r="CS67" s="57" t="s">
        <v>395</v>
      </c>
      <c r="CT67" s="57" t="s">
        <v>395</v>
      </c>
      <c r="CU67" s="57" t="s">
        <v>395</v>
      </c>
      <c r="CV67" s="57" t="s">
        <v>395</v>
      </c>
      <c r="CW67" s="57" t="s">
        <v>395</v>
      </c>
      <c r="CX67" s="57" t="s">
        <v>395</v>
      </c>
      <c r="CY67" s="59" t="s">
        <v>395</v>
      </c>
      <c r="CZ67" s="64"/>
    </row>
    <row r="68" spans="1:112" x14ac:dyDescent="0.3">
      <c r="A68" s="93" t="s">
        <v>9</v>
      </c>
      <c r="B68" s="93" t="s">
        <v>9</v>
      </c>
      <c r="C68" s="14" t="s">
        <v>20</v>
      </c>
      <c r="G68" s="22">
        <v>44467</v>
      </c>
      <c r="H68" s="16">
        <v>2021</v>
      </c>
      <c r="I68" s="121" t="s">
        <v>33</v>
      </c>
      <c r="J68" s="121">
        <v>10</v>
      </c>
      <c r="K68" s="124">
        <v>0.74</v>
      </c>
      <c r="L68" s="5" t="s">
        <v>394</v>
      </c>
      <c r="M68" s="70">
        <v>3.0484827345657484E-2</v>
      </c>
      <c r="N68" s="67">
        <v>0.12925531914893618</v>
      </c>
      <c r="O68" s="68">
        <v>1.0435734216951518</v>
      </c>
      <c r="P68" s="67">
        <v>0.78927014300662712</v>
      </c>
      <c r="Q68" s="68">
        <v>3.9455964422741543</v>
      </c>
      <c r="R68" s="68">
        <v>3.0762469480292989</v>
      </c>
      <c r="S68" s="68">
        <v>1.5950470875479597</v>
      </c>
      <c r="T68" s="69">
        <f t="shared" si="49"/>
        <v>10.609474189047786</v>
      </c>
      <c r="U68" s="5">
        <f t="shared" si="56"/>
        <v>66.352730040818628</v>
      </c>
      <c r="V68" s="72">
        <f>0.5*0.022</f>
        <v>1.0999999999999999E-2</v>
      </c>
      <c r="W68" s="70">
        <v>0.09</v>
      </c>
      <c r="X68" s="70">
        <v>2.5999999999999999E-2</v>
      </c>
      <c r="Y68" s="70">
        <v>2.9000000000000001E-2</v>
      </c>
      <c r="Z68" s="80">
        <f>0.5*0.022</f>
        <v>1.0999999999999999E-2</v>
      </c>
      <c r="AA68" s="70">
        <v>2.1000000000000001E-2</v>
      </c>
      <c r="AB68" s="70">
        <v>1.2E-2</v>
      </c>
      <c r="AC68" s="67">
        <f>0.5*0.1</f>
        <v>0.05</v>
      </c>
      <c r="AD68" s="67">
        <v>0.17799999999999999</v>
      </c>
      <c r="AE68" s="5">
        <f>SUM(V68,W68,Y68,X68,AB68,AA68)</f>
        <v>0.189</v>
      </c>
      <c r="AF68" s="70">
        <v>1.1771886989884899E-2</v>
      </c>
      <c r="AG68" s="250">
        <f t="shared" si="52"/>
        <v>7.9539776958681752E-2</v>
      </c>
      <c r="AH68" s="86">
        <v>3.1505038066233935</v>
      </c>
      <c r="AI68" s="85">
        <f t="shared" si="57"/>
        <v>7.4999999999999997E-2</v>
      </c>
      <c r="AJ68" s="205" t="s">
        <v>395</v>
      </c>
      <c r="AK68" s="85" t="s">
        <v>395</v>
      </c>
      <c r="AL68" s="85">
        <f t="shared" si="58"/>
        <v>0.05</v>
      </c>
      <c r="AM68" s="85">
        <f t="shared" si="55"/>
        <v>0.05</v>
      </c>
      <c r="AN68" s="86">
        <v>1.1241853438952707</v>
      </c>
      <c r="AO68" s="85">
        <f>0.5*0.15</f>
        <v>7.4999999999999997E-2</v>
      </c>
      <c r="AP68" s="16" t="s">
        <v>395</v>
      </c>
      <c r="AQ68" s="85">
        <v>0.47843247415663104</v>
      </c>
      <c r="AR68" s="85">
        <f t="shared" si="59"/>
        <v>0.1</v>
      </c>
      <c r="AS68" s="85">
        <v>0.93365791734129977</v>
      </c>
      <c r="AT68" s="85">
        <v>0.23413826297454951</v>
      </c>
      <c r="AU68" s="85">
        <v>0.35017341783436057</v>
      </c>
      <c r="AV68" s="85">
        <f t="shared" si="60"/>
        <v>7.4999999999999997E-2</v>
      </c>
      <c r="AW68" s="84">
        <f>0.5*0.112</f>
        <v>5.6000000000000001E-2</v>
      </c>
      <c r="AX68" s="84" t="s">
        <v>395</v>
      </c>
      <c r="AY68" s="84" t="s">
        <v>395</v>
      </c>
      <c r="AZ68" s="84" t="s">
        <v>395</v>
      </c>
      <c r="BA68" s="84" t="s">
        <v>395</v>
      </c>
      <c r="BB68" s="84" t="s">
        <v>395</v>
      </c>
      <c r="BC68" s="5" t="s">
        <v>395</v>
      </c>
      <c r="BD68" s="5" t="s">
        <v>395</v>
      </c>
      <c r="BE68" s="5" t="s">
        <v>395</v>
      </c>
      <c r="BF68" s="5" t="s">
        <v>395</v>
      </c>
      <c r="BG68" s="5" t="s">
        <v>395</v>
      </c>
      <c r="BH68" s="5" t="s">
        <v>395</v>
      </c>
      <c r="BI68" s="5" t="s">
        <v>395</v>
      </c>
      <c r="BJ68" s="5" t="s">
        <v>395</v>
      </c>
      <c r="BK68" s="5" t="s">
        <v>395</v>
      </c>
      <c r="BL68" s="5" t="s">
        <v>395</v>
      </c>
      <c r="BM68" s="5" t="s">
        <v>395</v>
      </c>
      <c r="BN68" s="1">
        <v>65</v>
      </c>
      <c r="BO68" s="57" t="s">
        <v>395</v>
      </c>
      <c r="BP68" s="57" t="s">
        <v>395</v>
      </c>
      <c r="BQ68" s="57" t="s">
        <v>395</v>
      </c>
      <c r="BR68" s="57" t="s">
        <v>395</v>
      </c>
      <c r="BS68" s="57" t="s">
        <v>395</v>
      </c>
      <c r="BT68" s="57" t="s">
        <v>395</v>
      </c>
      <c r="BU68" s="57" t="s">
        <v>395</v>
      </c>
      <c r="BV68" s="57" t="s">
        <v>395</v>
      </c>
      <c r="BW68" s="57" t="s">
        <v>395</v>
      </c>
      <c r="BX68" s="57" t="s">
        <v>395</v>
      </c>
      <c r="BY68" s="57" t="s">
        <v>395</v>
      </c>
      <c r="BZ68" s="57" t="s">
        <v>395</v>
      </c>
      <c r="CA68" s="57" t="s">
        <v>395</v>
      </c>
      <c r="CB68" s="57" t="s">
        <v>395</v>
      </c>
      <c r="CC68" s="57" t="s">
        <v>395</v>
      </c>
      <c r="CD68" s="57" t="s">
        <v>395</v>
      </c>
      <c r="CE68" s="57" t="s">
        <v>395</v>
      </c>
      <c r="CF68" s="57" t="s">
        <v>395</v>
      </c>
      <c r="CG68" s="57" t="s">
        <v>395</v>
      </c>
      <c r="CH68" s="57" t="s">
        <v>395</v>
      </c>
      <c r="CI68" s="57" t="s">
        <v>395</v>
      </c>
      <c r="CJ68" s="57" t="s">
        <v>395</v>
      </c>
      <c r="CK68" s="57" t="s">
        <v>395</v>
      </c>
      <c r="CL68" s="57" t="s">
        <v>395</v>
      </c>
      <c r="CM68" s="57" t="s">
        <v>395</v>
      </c>
      <c r="CN68" s="57" t="s">
        <v>395</v>
      </c>
      <c r="CO68" s="57" t="s">
        <v>395</v>
      </c>
      <c r="CP68" s="57" t="s">
        <v>395</v>
      </c>
      <c r="CQ68" s="57" t="s">
        <v>395</v>
      </c>
      <c r="CR68" s="57" t="s">
        <v>395</v>
      </c>
      <c r="CS68" s="57" t="s">
        <v>395</v>
      </c>
      <c r="CT68" s="57" t="s">
        <v>395</v>
      </c>
      <c r="CU68" s="57" t="s">
        <v>395</v>
      </c>
      <c r="CV68" s="57" t="s">
        <v>395</v>
      </c>
      <c r="CW68" s="57" t="s">
        <v>395</v>
      </c>
      <c r="CX68" s="57" t="s">
        <v>395</v>
      </c>
      <c r="CY68" s="59" t="s">
        <v>395</v>
      </c>
      <c r="CZ68" s="64"/>
    </row>
    <row r="69" spans="1:112" x14ac:dyDescent="0.3">
      <c r="A69" s="93" t="s">
        <v>7</v>
      </c>
      <c r="B69" s="93" t="s">
        <v>7</v>
      </c>
      <c r="C69" s="14" t="s">
        <v>20</v>
      </c>
      <c r="G69" s="22">
        <v>44438</v>
      </c>
      <c r="H69" s="16">
        <v>2021</v>
      </c>
      <c r="I69" s="121" t="s">
        <v>33</v>
      </c>
      <c r="J69" s="121">
        <v>10</v>
      </c>
      <c r="K69" s="124">
        <v>0.68</v>
      </c>
      <c r="L69" s="5" t="s">
        <v>394</v>
      </c>
      <c r="M69" s="70">
        <v>5.5391373237081168E-2</v>
      </c>
      <c r="N69" s="67">
        <v>0.32046993040674343</v>
      </c>
      <c r="O69" s="67">
        <v>0.79731127826721071</v>
      </c>
      <c r="P69" s="67">
        <v>0.81743822258409171</v>
      </c>
      <c r="Q69" s="68">
        <v>1.8820679694486768</v>
      </c>
      <c r="R69" s="68">
        <v>1.6658696724531601</v>
      </c>
      <c r="S69" s="67">
        <v>0.5953648059814094</v>
      </c>
      <c r="T69" s="68">
        <f t="shared" si="49"/>
        <v>6.1339132523783739</v>
      </c>
      <c r="U69" s="5">
        <f t="shared" si="56"/>
        <v>39.091728160252067</v>
      </c>
      <c r="V69" s="70">
        <f>0.5*0.024</f>
        <v>1.2E-2</v>
      </c>
      <c r="W69" s="67">
        <v>0.12</v>
      </c>
      <c r="X69" s="70">
        <v>2.1000000000000001E-2</v>
      </c>
      <c r="Y69" s="70">
        <v>6.2E-2</v>
      </c>
      <c r="Z69" s="80">
        <f>0.5*0.024</f>
        <v>1.2E-2</v>
      </c>
      <c r="AA69" s="70">
        <v>1.6E-2</v>
      </c>
      <c r="AB69" s="70">
        <v>1.2E-2</v>
      </c>
      <c r="AC69" s="70">
        <f>0.5*0.092</f>
        <v>4.5999999999999999E-2</v>
      </c>
      <c r="AD69" s="67">
        <v>0.23099999999999998</v>
      </c>
      <c r="AE69" s="5">
        <f t="shared" ref="AE69:AE82" si="61">SUM(V69,W69,Y69,X69,AB69,AA69)</f>
        <v>0.24299999999999999</v>
      </c>
      <c r="AF69" s="71">
        <v>7.6761867628423824E-2</v>
      </c>
      <c r="AG69" s="250">
        <f t="shared" si="52"/>
        <v>0.56442549726782221</v>
      </c>
      <c r="AH69" s="84">
        <v>14.246413076027046</v>
      </c>
      <c r="AI69" s="85">
        <f t="shared" si="57"/>
        <v>7.4999999999999997E-2</v>
      </c>
      <c r="AJ69" s="85" t="s">
        <v>395</v>
      </c>
      <c r="AK69" s="85" t="s">
        <v>395</v>
      </c>
      <c r="AL69" s="85">
        <f t="shared" si="58"/>
        <v>0.05</v>
      </c>
      <c r="AM69" s="85">
        <v>0.12445238338716696</v>
      </c>
      <c r="AN69" s="85">
        <v>3.0022469472718574</v>
      </c>
      <c r="AO69" s="85">
        <v>0.71286404216296095</v>
      </c>
      <c r="AP69" s="16" t="s">
        <v>395</v>
      </c>
      <c r="AQ69" s="86">
        <v>1.4104732794085018</v>
      </c>
      <c r="AR69" s="85">
        <f t="shared" si="59"/>
        <v>0.1</v>
      </c>
      <c r="AS69" s="86">
        <v>3.3684109753727403</v>
      </c>
      <c r="AT69" s="85">
        <v>0.41319329070514288</v>
      </c>
      <c r="AU69" s="85">
        <v>0.86394001001007326</v>
      </c>
      <c r="AV69" s="85">
        <f t="shared" si="60"/>
        <v>7.4999999999999997E-2</v>
      </c>
      <c r="AW69" s="85">
        <v>0.12</v>
      </c>
      <c r="AX69" s="85" t="s">
        <v>395</v>
      </c>
      <c r="AY69" s="85" t="s">
        <v>395</v>
      </c>
      <c r="AZ69" s="85" t="s">
        <v>395</v>
      </c>
      <c r="BA69" s="85" t="s">
        <v>395</v>
      </c>
      <c r="BB69" s="85" t="s">
        <v>395</v>
      </c>
      <c r="BC69" s="5" t="s">
        <v>395</v>
      </c>
      <c r="BD69" s="5" t="s">
        <v>395</v>
      </c>
      <c r="BE69" s="5" t="s">
        <v>395</v>
      </c>
      <c r="BF69" s="5" t="s">
        <v>395</v>
      </c>
      <c r="BG69" s="5" t="s">
        <v>395</v>
      </c>
      <c r="BH69" s="5" t="s">
        <v>395</v>
      </c>
      <c r="BI69" s="5" t="s">
        <v>395</v>
      </c>
      <c r="BJ69" s="5" t="s">
        <v>395</v>
      </c>
      <c r="BK69" s="5" t="s">
        <v>395</v>
      </c>
      <c r="BL69" s="5" t="s">
        <v>395</v>
      </c>
      <c r="BM69" s="5" t="s">
        <v>395</v>
      </c>
      <c r="BN69" s="1">
        <v>110</v>
      </c>
      <c r="BO69" s="57" t="s">
        <v>395</v>
      </c>
      <c r="BP69" s="57" t="s">
        <v>395</v>
      </c>
      <c r="BQ69" s="57" t="s">
        <v>395</v>
      </c>
      <c r="BR69" s="57" t="s">
        <v>395</v>
      </c>
      <c r="BS69" s="57" t="s">
        <v>395</v>
      </c>
      <c r="BT69" s="57" t="s">
        <v>395</v>
      </c>
      <c r="BU69" s="57" t="s">
        <v>395</v>
      </c>
      <c r="BV69" s="57" t="s">
        <v>395</v>
      </c>
      <c r="BW69" s="57" t="s">
        <v>395</v>
      </c>
      <c r="BX69" s="57" t="s">
        <v>395</v>
      </c>
      <c r="BY69" s="57" t="s">
        <v>395</v>
      </c>
      <c r="BZ69" s="57" t="s">
        <v>395</v>
      </c>
      <c r="CA69" s="57" t="s">
        <v>395</v>
      </c>
      <c r="CB69" s="57" t="s">
        <v>395</v>
      </c>
      <c r="CC69" s="57" t="s">
        <v>395</v>
      </c>
      <c r="CD69" s="57" t="s">
        <v>395</v>
      </c>
      <c r="CE69" s="57" t="s">
        <v>395</v>
      </c>
      <c r="CF69" s="57" t="s">
        <v>395</v>
      </c>
      <c r="CG69" s="57" t="s">
        <v>395</v>
      </c>
      <c r="CH69" s="57" t="s">
        <v>395</v>
      </c>
      <c r="CI69" s="57" t="s">
        <v>395</v>
      </c>
      <c r="CJ69" s="57" t="s">
        <v>395</v>
      </c>
      <c r="CK69" s="57" t="s">
        <v>395</v>
      </c>
      <c r="CL69" s="57" t="s">
        <v>395</v>
      </c>
      <c r="CM69" s="57" t="s">
        <v>395</v>
      </c>
      <c r="CN69" s="57" t="s">
        <v>395</v>
      </c>
      <c r="CO69" s="57" t="s">
        <v>395</v>
      </c>
      <c r="CP69" s="57" t="s">
        <v>395</v>
      </c>
      <c r="CQ69" s="57" t="s">
        <v>395</v>
      </c>
      <c r="CR69" s="57" t="s">
        <v>395</v>
      </c>
      <c r="CS69" s="57" t="s">
        <v>395</v>
      </c>
      <c r="CT69" s="57" t="s">
        <v>395</v>
      </c>
      <c r="CU69" s="57" t="s">
        <v>395</v>
      </c>
      <c r="CV69" s="57" t="s">
        <v>395</v>
      </c>
      <c r="CW69" s="57" t="s">
        <v>395</v>
      </c>
      <c r="CX69" s="57" t="s">
        <v>395</v>
      </c>
      <c r="CY69" s="59" t="s">
        <v>395</v>
      </c>
      <c r="CZ69" s="64"/>
    </row>
    <row r="70" spans="1:112" x14ac:dyDescent="0.3">
      <c r="A70" s="93" t="s">
        <v>79</v>
      </c>
      <c r="B70" s="93" t="s">
        <v>79</v>
      </c>
      <c r="C70" s="14" t="s">
        <v>20</v>
      </c>
      <c r="G70" s="22">
        <v>44442</v>
      </c>
      <c r="H70" s="16">
        <v>2021</v>
      </c>
      <c r="I70" s="121" t="s">
        <v>33</v>
      </c>
      <c r="J70" s="121">
        <v>10</v>
      </c>
      <c r="K70" s="124">
        <v>0.68</v>
      </c>
      <c r="L70" s="5" t="s">
        <v>394</v>
      </c>
      <c r="M70" s="79">
        <v>0.17915292662819454</v>
      </c>
      <c r="N70" s="67">
        <v>0.52970939818631491</v>
      </c>
      <c r="O70" s="68">
        <v>2.112407254740313</v>
      </c>
      <c r="P70" s="68">
        <v>1.7389633140972793</v>
      </c>
      <c r="Q70" s="68">
        <v>4.1768446001648805</v>
      </c>
      <c r="R70" s="68">
        <v>3.6832749381698267</v>
      </c>
      <c r="S70" s="68">
        <v>1.2569661995053585</v>
      </c>
      <c r="T70" s="69">
        <f t="shared" si="49"/>
        <v>13.677318631492168</v>
      </c>
      <c r="U70" s="5">
        <f t="shared" si="56"/>
        <v>87.782024392609472</v>
      </c>
      <c r="V70" s="72">
        <f>0.5*0.026</f>
        <v>1.2999999999999999E-2</v>
      </c>
      <c r="W70" s="70">
        <v>3.6999999999999998E-2</v>
      </c>
      <c r="X70" s="70">
        <v>6.7000000000000002E-3</v>
      </c>
      <c r="Y70" s="70">
        <v>1.9E-2</v>
      </c>
      <c r="Z70" s="80">
        <f>0.5*0.026</f>
        <v>1.2999999999999999E-2</v>
      </c>
      <c r="AA70" s="72">
        <f>0.5*0.026</f>
        <v>1.2999999999999999E-2</v>
      </c>
      <c r="AB70" s="72">
        <f>0.5*0.026</f>
        <v>1.2999999999999999E-2</v>
      </c>
      <c r="AC70" s="70">
        <f>0.5*0.095</f>
        <v>4.7500000000000001E-2</v>
      </c>
      <c r="AD70" s="67">
        <v>6.2699999999999992E-2</v>
      </c>
      <c r="AE70" s="5">
        <f t="shared" si="61"/>
        <v>0.10169999999999998</v>
      </c>
      <c r="AF70" s="71">
        <v>1.1438582028029678E-2</v>
      </c>
      <c r="AG70" s="250">
        <f t="shared" si="52"/>
        <v>8.4107220794335871E-2</v>
      </c>
      <c r="AH70" s="84">
        <v>13.107063476831913</v>
      </c>
      <c r="AI70" s="85">
        <f t="shared" si="57"/>
        <v>7.4999999999999997E-2</v>
      </c>
      <c r="AJ70" s="85" t="s">
        <v>395</v>
      </c>
      <c r="AK70" s="85" t="s">
        <v>395</v>
      </c>
      <c r="AL70" s="85">
        <f t="shared" si="58"/>
        <v>0.05</v>
      </c>
      <c r="AM70" s="85">
        <f>0.5*0.1</f>
        <v>0.05</v>
      </c>
      <c r="AN70" s="85">
        <v>0.57919280547925467</v>
      </c>
      <c r="AO70" s="85">
        <f>0.5*0.15</f>
        <v>7.4999999999999997E-2</v>
      </c>
      <c r="AP70" s="16" t="s">
        <v>395</v>
      </c>
      <c r="AQ70" s="85">
        <v>0.49797376722762643</v>
      </c>
      <c r="AR70" s="85">
        <f t="shared" si="59"/>
        <v>0.1</v>
      </c>
      <c r="AS70" s="86">
        <v>1.4763644160299385</v>
      </c>
      <c r="AT70" s="85">
        <v>0.22776001871199125</v>
      </c>
      <c r="AU70" s="85">
        <v>0.3341709748227758</v>
      </c>
      <c r="AV70" s="85">
        <f t="shared" si="60"/>
        <v>7.4999999999999997E-2</v>
      </c>
      <c r="AW70" s="84">
        <f>0.5*0.112</f>
        <v>5.6000000000000001E-2</v>
      </c>
      <c r="AX70" s="84" t="s">
        <v>395</v>
      </c>
      <c r="AY70" s="84" t="s">
        <v>395</v>
      </c>
      <c r="AZ70" s="84" t="s">
        <v>395</v>
      </c>
      <c r="BA70" s="84" t="s">
        <v>395</v>
      </c>
      <c r="BB70" s="84" t="s">
        <v>395</v>
      </c>
      <c r="BC70" s="5" t="s">
        <v>395</v>
      </c>
      <c r="BD70" s="5" t="s">
        <v>395</v>
      </c>
      <c r="BE70" s="5" t="s">
        <v>395</v>
      </c>
      <c r="BF70" s="5" t="s">
        <v>395</v>
      </c>
      <c r="BG70" s="5" t="s">
        <v>395</v>
      </c>
      <c r="BH70" s="5" t="s">
        <v>395</v>
      </c>
      <c r="BI70" s="5" t="s">
        <v>395</v>
      </c>
      <c r="BJ70" s="5" t="s">
        <v>395</v>
      </c>
      <c r="BK70" s="5" t="s">
        <v>395</v>
      </c>
      <c r="BL70" s="5" t="s">
        <v>395</v>
      </c>
      <c r="BM70" s="5" t="s">
        <v>395</v>
      </c>
      <c r="BN70" s="1">
        <v>170</v>
      </c>
      <c r="BO70" s="57" t="s">
        <v>395</v>
      </c>
      <c r="BP70" s="57" t="s">
        <v>395</v>
      </c>
      <c r="BQ70" s="57" t="s">
        <v>395</v>
      </c>
      <c r="BR70" s="57" t="s">
        <v>395</v>
      </c>
      <c r="BS70" s="57" t="s">
        <v>395</v>
      </c>
      <c r="BT70" s="57" t="s">
        <v>395</v>
      </c>
      <c r="BU70" s="57" t="s">
        <v>395</v>
      </c>
      <c r="BV70" s="57" t="s">
        <v>395</v>
      </c>
      <c r="BW70" s="57" t="s">
        <v>395</v>
      </c>
      <c r="BX70" s="57" t="s">
        <v>395</v>
      </c>
      <c r="BY70" s="57" t="s">
        <v>395</v>
      </c>
      <c r="BZ70" s="57" t="s">
        <v>395</v>
      </c>
      <c r="CA70" s="57" t="s">
        <v>395</v>
      </c>
      <c r="CB70" s="57" t="s">
        <v>395</v>
      </c>
      <c r="CC70" s="57" t="s">
        <v>395</v>
      </c>
      <c r="CD70" s="57" t="s">
        <v>395</v>
      </c>
      <c r="CE70" s="57" t="s">
        <v>395</v>
      </c>
      <c r="CF70" s="57" t="s">
        <v>395</v>
      </c>
      <c r="CG70" s="57" t="s">
        <v>395</v>
      </c>
      <c r="CH70" s="57" t="s">
        <v>395</v>
      </c>
      <c r="CI70" s="57" t="s">
        <v>395</v>
      </c>
      <c r="CJ70" s="57" t="s">
        <v>395</v>
      </c>
      <c r="CK70" s="57" t="s">
        <v>395</v>
      </c>
      <c r="CL70" s="57" t="s">
        <v>395</v>
      </c>
      <c r="CM70" s="57" t="s">
        <v>395</v>
      </c>
      <c r="CN70" s="57" t="s">
        <v>395</v>
      </c>
      <c r="CO70" s="57" t="s">
        <v>395</v>
      </c>
      <c r="CP70" s="57" t="s">
        <v>395</v>
      </c>
      <c r="CQ70" s="57" t="s">
        <v>395</v>
      </c>
      <c r="CR70" s="57" t="s">
        <v>395</v>
      </c>
      <c r="CS70" s="57" t="s">
        <v>395</v>
      </c>
      <c r="CT70" s="57" t="s">
        <v>395</v>
      </c>
      <c r="CU70" s="57" t="s">
        <v>395</v>
      </c>
      <c r="CV70" s="57" t="s">
        <v>395</v>
      </c>
      <c r="CW70" s="57" t="s">
        <v>395</v>
      </c>
      <c r="CX70" s="57" t="s">
        <v>395</v>
      </c>
      <c r="CY70" s="59" t="s">
        <v>395</v>
      </c>
      <c r="CZ70" s="64"/>
    </row>
    <row r="71" spans="1:112" x14ac:dyDescent="0.3">
      <c r="A71" s="93" t="s">
        <v>5</v>
      </c>
      <c r="B71" s="93" t="s">
        <v>5</v>
      </c>
      <c r="C71" s="14" t="s">
        <v>20</v>
      </c>
      <c r="G71" s="65">
        <v>44433</v>
      </c>
      <c r="H71" s="16">
        <v>2021</v>
      </c>
      <c r="I71" s="121" t="s">
        <v>33</v>
      </c>
      <c r="J71" s="121">
        <v>10</v>
      </c>
      <c r="K71" s="124">
        <v>0.56000000000000005</v>
      </c>
      <c r="L71" s="5" t="s">
        <v>394</v>
      </c>
      <c r="M71" s="79">
        <v>0.95105474198047435</v>
      </c>
      <c r="N71" s="68">
        <v>3.4751307531380755</v>
      </c>
      <c r="O71" s="69">
        <v>13.296565550906555</v>
      </c>
      <c r="P71" s="69">
        <v>11.685407949790797</v>
      </c>
      <c r="Q71" s="69">
        <v>21.122358786610878</v>
      </c>
      <c r="R71" s="69">
        <v>19.618244421199442</v>
      </c>
      <c r="S71" s="68">
        <v>4.9528591352859141</v>
      </c>
      <c r="T71" s="69">
        <f t="shared" si="49"/>
        <v>75.101621338912153</v>
      </c>
      <c r="U71" s="5">
        <f t="shared" si="56"/>
        <v>566.21619097429755</v>
      </c>
      <c r="V71" s="70">
        <v>7.4999999999999997E-3</v>
      </c>
      <c r="W71" s="67">
        <v>0.28000000000000003</v>
      </c>
      <c r="X71" s="67">
        <v>0.11</v>
      </c>
      <c r="Y71" s="67">
        <v>0.22</v>
      </c>
      <c r="Z71" s="80">
        <f>0.5*0.022</f>
        <v>1.0999999999999999E-2</v>
      </c>
      <c r="AA71" s="70">
        <v>6.0999999999999999E-2</v>
      </c>
      <c r="AB71" s="70">
        <v>4.3999999999999997E-2</v>
      </c>
      <c r="AC71" s="70">
        <f>0.5*0.096</f>
        <v>4.8000000000000001E-2</v>
      </c>
      <c r="AD71" s="67">
        <v>0.72250000000000014</v>
      </c>
      <c r="AE71" s="5">
        <f t="shared" si="61"/>
        <v>0.72250000000000014</v>
      </c>
      <c r="AF71" s="73">
        <v>3.7569735006973505E-2</v>
      </c>
      <c r="AG71" s="250">
        <f t="shared" si="52"/>
        <v>0.33544406256226339</v>
      </c>
      <c r="AH71" s="84">
        <v>11.81924142967455</v>
      </c>
      <c r="AI71" s="85">
        <f t="shared" si="57"/>
        <v>7.4999999999999997E-2</v>
      </c>
      <c r="AJ71" s="85" t="s">
        <v>395</v>
      </c>
      <c r="AK71" s="85" t="s">
        <v>395</v>
      </c>
      <c r="AL71" s="85">
        <f t="shared" si="58"/>
        <v>0.05</v>
      </c>
      <c r="AM71" s="85">
        <f>0.5*0.1</f>
        <v>0.05</v>
      </c>
      <c r="AN71" s="85">
        <v>0.73437460678250577</v>
      </c>
      <c r="AO71" s="85">
        <v>0.30796650541257242</v>
      </c>
      <c r="AP71" s="16" t="s">
        <v>395</v>
      </c>
      <c r="AQ71" s="85">
        <v>0.78476161660861277</v>
      </c>
      <c r="AR71" s="85">
        <f t="shared" si="59"/>
        <v>0.1</v>
      </c>
      <c r="AS71" s="86">
        <v>2.4288098989675486</v>
      </c>
      <c r="AT71" s="86">
        <v>1.3833482797887044</v>
      </c>
      <c r="AU71" s="86">
        <v>1.0972253232624951</v>
      </c>
      <c r="AV71" s="85">
        <f t="shared" si="60"/>
        <v>7.4999999999999997E-2</v>
      </c>
      <c r="AW71" s="84">
        <f>0.5*0.112</f>
        <v>5.6000000000000001E-2</v>
      </c>
      <c r="AX71" s="84" t="s">
        <v>395</v>
      </c>
      <c r="AY71" s="84" t="s">
        <v>395</v>
      </c>
      <c r="AZ71" s="84" t="s">
        <v>395</v>
      </c>
      <c r="BA71" s="84" t="s">
        <v>395</v>
      </c>
      <c r="BB71" s="84" t="s">
        <v>395</v>
      </c>
      <c r="BC71" s="5" t="s">
        <v>395</v>
      </c>
      <c r="BD71" s="5" t="s">
        <v>395</v>
      </c>
      <c r="BE71" s="5" t="s">
        <v>395</v>
      </c>
      <c r="BF71" s="5" t="s">
        <v>395</v>
      </c>
      <c r="BG71" s="5" t="s">
        <v>395</v>
      </c>
      <c r="BH71" s="5" t="s">
        <v>395</v>
      </c>
      <c r="BI71" s="5" t="s">
        <v>395</v>
      </c>
      <c r="BJ71" s="5" t="s">
        <v>395</v>
      </c>
      <c r="BK71" s="5" t="s">
        <v>395</v>
      </c>
      <c r="BL71" s="5" t="s">
        <v>395</v>
      </c>
      <c r="BM71" s="5" t="s">
        <v>395</v>
      </c>
      <c r="BN71" s="1">
        <v>75</v>
      </c>
      <c r="BO71" s="57" t="s">
        <v>395</v>
      </c>
      <c r="BP71" s="57" t="s">
        <v>395</v>
      </c>
      <c r="BQ71" s="57" t="s">
        <v>395</v>
      </c>
      <c r="BR71" s="57" t="s">
        <v>395</v>
      </c>
      <c r="BS71" s="57" t="s">
        <v>395</v>
      </c>
      <c r="BT71" s="57" t="s">
        <v>395</v>
      </c>
      <c r="BU71" s="57" t="s">
        <v>395</v>
      </c>
      <c r="BV71" s="57" t="s">
        <v>395</v>
      </c>
      <c r="BW71" s="57" t="s">
        <v>395</v>
      </c>
      <c r="BX71" s="57" t="s">
        <v>395</v>
      </c>
      <c r="BY71" s="57" t="s">
        <v>395</v>
      </c>
      <c r="BZ71" s="57" t="s">
        <v>395</v>
      </c>
      <c r="CA71" s="57" t="s">
        <v>395</v>
      </c>
      <c r="CB71" s="57" t="s">
        <v>395</v>
      </c>
      <c r="CC71" s="57" t="s">
        <v>395</v>
      </c>
      <c r="CD71" s="57" t="s">
        <v>395</v>
      </c>
      <c r="CE71" s="57" t="s">
        <v>395</v>
      </c>
      <c r="CF71" s="57" t="s">
        <v>395</v>
      </c>
      <c r="CG71" s="57" t="s">
        <v>395</v>
      </c>
      <c r="CH71" s="57" t="s">
        <v>395</v>
      </c>
      <c r="CI71" s="57" t="s">
        <v>395</v>
      </c>
      <c r="CJ71" s="57" t="s">
        <v>395</v>
      </c>
      <c r="CK71" s="57" t="s">
        <v>395</v>
      </c>
      <c r="CL71" s="57" t="s">
        <v>395</v>
      </c>
      <c r="CM71" s="57" t="s">
        <v>395</v>
      </c>
      <c r="CN71" s="57" t="s">
        <v>395</v>
      </c>
      <c r="CO71" s="57" t="s">
        <v>395</v>
      </c>
      <c r="CP71" s="57" t="s">
        <v>395</v>
      </c>
      <c r="CQ71" s="57" t="s">
        <v>395</v>
      </c>
      <c r="CR71" s="57" t="s">
        <v>395</v>
      </c>
      <c r="CS71" s="57" t="s">
        <v>395</v>
      </c>
      <c r="CT71" s="57" t="s">
        <v>395</v>
      </c>
      <c r="CU71" s="57" t="s">
        <v>395</v>
      </c>
      <c r="CV71" s="57" t="s">
        <v>395</v>
      </c>
      <c r="CW71" s="57" t="s">
        <v>395</v>
      </c>
      <c r="CX71" s="57" t="s">
        <v>395</v>
      </c>
      <c r="CY71" s="59" t="s">
        <v>395</v>
      </c>
      <c r="CZ71" s="64"/>
    </row>
    <row r="72" spans="1:112" x14ac:dyDescent="0.3">
      <c r="A72" s="93" t="s">
        <v>26</v>
      </c>
      <c r="B72" s="93" t="s">
        <v>26</v>
      </c>
      <c r="C72" s="14" t="s">
        <v>20</v>
      </c>
      <c r="G72" s="22">
        <v>44448</v>
      </c>
      <c r="H72" s="16">
        <v>2021</v>
      </c>
      <c r="I72" s="121" t="s">
        <v>33</v>
      </c>
      <c r="J72" s="121">
        <v>10</v>
      </c>
      <c r="K72" s="125">
        <v>0.6</v>
      </c>
      <c r="L72" s="5" t="s">
        <v>394</v>
      </c>
      <c r="M72" s="73">
        <v>2.0635664729045565E-2</v>
      </c>
      <c r="N72" s="70">
        <v>3.8683667729233075E-2</v>
      </c>
      <c r="O72" s="67">
        <v>0.23139883742733922</v>
      </c>
      <c r="P72" s="67">
        <v>0.25129383086442902</v>
      </c>
      <c r="Q72" s="67">
        <v>0.74805925370335635</v>
      </c>
      <c r="R72" s="67">
        <v>0.6914307144196512</v>
      </c>
      <c r="S72" s="67">
        <v>0.28041440090005626</v>
      </c>
      <c r="T72" s="68">
        <f t="shared" si="49"/>
        <v>2.2619163697731106</v>
      </c>
      <c r="U72" s="5">
        <f t="shared" si="56"/>
        <v>16.755187824239016</v>
      </c>
      <c r="V72" s="70">
        <f>0.5*0.023</f>
        <v>1.15E-2</v>
      </c>
      <c r="W72" s="72">
        <v>1.0999999999999999E-2</v>
      </c>
      <c r="X72" s="72">
        <f>0.5*0.019</f>
        <v>9.4999999999999998E-3</v>
      </c>
      <c r="Y72" s="70">
        <v>8.9331429589990918E-3</v>
      </c>
      <c r="Z72" s="80">
        <f>0.5*0.023</f>
        <v>1.15E-2</v>
      </c>
      <c r="AA72" s="72">
        <f>0.5*0.023</f>
        <v>1.15E-2</v>
      </c>
      <c r="AB72" s="72">
        <f>0.5*0.023</f>
        <v>1.15E-2</v>
      </c>
      <c r="AC72" s="70">
        <v>8.3000000000000004E-2</v>
      </c>
      <c r="AD72" s="70">
        <v>1.9933142958999089E-2</v>
      </c>
      <c r="AE72" s="5">
        <f t="shared" si="61"/>
        <v>6.3933142958999087E-2</v>
      </c>
      <c r="AF72" s="71">
        <f>0.5*0.00469</f>
        <v>2.3449999999999999E-3</v>
      </c>
      <c r="AG72" s="250" t="s">
        <v>395</v>
      </c>
      <c r="AH72" s="86">
        <v>5.1777710567330599</v>
      </c>
      <c r="AI72" s="85">
        <f t="shared" si="57"/>
        <v>7.4999999999999997E-2</v>
      </c>
      <c r="AJ72" s="85" t="s">
        <v>395</v>
      </c>
      <c r="AK72" s="85" t="s">
        <v>395</v>
      </c>
      <c r="AL72" s="85">
        <f t="shared" si="58"/>
        <v>0.05</v>
      </c>
      <c r="AM72" s="85">
        <f>0.5*0.1</f>
        <v>0.05</v>
      </c>
      <c r="AN72" s="85">
        <v>0.39766198857950485</v>
      </c>
      <c r="AO72" s="85">
        <f>0.5*0.15</f>
        <v>7.4999999999999997E-2</v>
      </c>
      <c r="AP72" s="16" t="s">
        <v>395</v>
      </c>
      <c r="AQ72" s="85">
        <v>0.16087103779411474</v>
      </c>
      <c r="AR72" s="85">
        <f t="shared" si="59"/>
        <v>0.1</v>
      </c>
      <c r="AS72" s="85">
        <v>0.84650084409120563</v>
      </c>
      <c r="AT72" s="85">
        <v>0.26578155308461154</v>
      </c>
      <c r="AU72" s="85">
        <f>0.5*0.15</f>
        <v>7.4999999999999997E-2</v>
      </c>
      <c r="AV72" s="85">
        <f t="shared" si="60"/>
        <v>7.4999999999999997E-2</v>
      </c>
      <c r="AW72" s="84">
        <f>0.5*0.112</f>
        <v>5.6000000000000001E-2</v>
      </c>
      <c r="AX72" s="84" t="s">
        <v>395</v>
      </c>
      <c r="AY72" s="84" t="s">
        <v>395</v>
      </c>
      <c r="AZ72" s="84" t="s">
        <v>395</v>
      </c>
      <c r="BA72" s="84" t="s">
        <v>395</v>
      </c>
      <c r="BB72" s="84" t="s">
        <v>395</v>
      </c>
      <c r="BC72" s="5" t="s">
        <v>395</v>
      </c>
      <c r="BD72" s="5" t="s">
        <v>395</v>
      </c>
      <c r="BE72" s="5" t="s">
        <v>395</v>
      </c>
      <c r="BF72" s="5" t="s">
        <v>395</v>
      </c>
      <c r="BG72" s="5" t="s">
        <v>395</v>
      </c>
      <c r="BH72" s="5" t="s">
        <v>395</v>
      </c>
      <c r="BI72" s="5" t="s">
        <v>395</v>
      </c>
      <c r="BJ72" s="5" t="s">
        <v>395</v>
      </c>
      <c r="BK72" s="5" t="s">
        <v>395</v>
      </c>
      <c r="BL72" s="5" t="s">
        <v>395</v>
      </c>
      <c r="BM72" s="5" t="s">
        <v>395</v>
      </c>
      <c r="BN72" s="1">
        <v>52</v>
      </c>
      <c r="BO72" s="57" t="s">
        <v>395</v>
      </c>
      <c r="BP72" s="57" t="s">
        <v>395</v>
      </c>
      <c r="BQ72" s="57" t="s">
        <v>395</v>
      </c>
      <c r="BR72" s="57" t="s">
        <v>395</v>
      </c>
      <c r="BS72" s="57" t="s">
        <v>395</v>
      </c>
      <c r="BT72" s="57" t="s">
        <v>395</v>
      </c>
      <c r="BU72" s="57" t="s">
        <v>395</v>
      </c>
      <c r="BV72" s="57" t="s">
        <v>395</v>
      </c>
      <c r="BW72" s="57" t="s">
        <v>395</v>
      </c>
      <c r="BX72" s="57" t="s">
        <v>395</v>
      </c>
      <c r="BY72" s="57" t="s">
        <v>395</v>
      </c>
      <c r="BZ72" s="57" t="s">
        <v>395</v>
      </c>
      <c r="CA72" s="57" t="s">
        <v>395</v>
      </c>
      <c r="CB72" s="57" t="s">
        <v>395</v>
      </c>
      <c r="CC72" s="57" t="s">
        <v>395</v>
      </c>
      <c r="CD72" s="57" t="s">
        <v>395</v>
      </c>
      <c r="CE72" s="57" t="s">
        <v>395</v>
      </c>
      <c r="CF72" s="57" t="s">
        <v>395</v>
      </c>
      <c r="CG72" s="57" t="s">
        <v>395</v>
      </c>
      <c r="CH72" s="57" t="s">
        <v>395</v>
      </c>
      <c r="CI72" s="57" t="s">
        <v>395</v>
      </c>
      <c r="CJ72" s="57" t="s">
        <v>395</v>
      </c>
      <c r="CK72" s="57" t="s">
        <v>395</v>
      </c>
      <c r="CL72" s="57" t="s">
        <v>395</v>
      </c>
      <c r="CM72" s="57" t="s">
        <v>395</v>
      </c>
      <c r="CN72" s="57" t="s">
        <v>395</v>
      </c>
      <c r="CO72" s="57" t="s">
        <v>395</v>
      </c>
      <c r="CP72" s="57" t="s">
        <v>395</v>
      </c>
      <c r="CQ72" s="57" t="s">
        <v>395</v>
      </c>
      <c r="CR72" s="57" t="s">
        <v>395</v>
      </c>
      <c r="CS72" s="57" t="s">
        <v>395</v>
      </c>
      <c r="CT72" s="57" t="s">
        <v>395</v>
      </c>
      <c r="CU72" s="57" t="s">
        <v>395</v>
      </c>
      <c r="CV72" s="57" t="s">
        <v>395</v>
      </c>
      <c r="CW72" s="57" t="s">
        <v>395</v>
      </c>
      <c r="CX72" s="57" t="s">
        <v>395</v>
      </c>
      <c r="CY72" s="59" t="s">
        <v>395</v>
      </c>
      <c r="CZ72" s="64"/>
    </row>
    <row r="73" spans="1:112" x14ac:dyDescent="0.3">
      <c r="A73" s="93" t="s">
        <v>81</v>
      </c>
      <c r="B73" s="93" t="s">
        <v>81</v>
      </c>
      <c r="C73" s="14" t="s">
        <v>20</v>
      </c>
      <c r="G73" s="22">
        <v>44439</v>
      </c>
      <c r="H73" s="16">
        <v>2021</v>
      </c>
      <c r="I73" s="121" t="s">
        <v>33</v>
      </c>
      <c r="J73" s="121">
        <v>10</v>
      </c>
      <c r="K73" s="124">
        <v>0.68</v>
      </c>
      <c r="L73" s="5" t="s">
        <v>394</v>
      </c>
      <c r="M73" s="73">
        <v>2.0635664729045565E-2</v>
      </c>
      <c r="N73" s="67">
        <v>0.10932939220395343</v>
      </c>
      <c r="O73" s="67">
        <v>0.51013301311657122</v>
      </c>
      <c r="P73" s="67">
        <v>0.45878440790689079</v>
      </c>
      <c r="Q73" s="68">
        <v>1.085941252540181</v>
      </c>
      <c r="R73" s="68">
        <v>1.0151764271198964</v>
      </c>
      <c r="S73" s="67">
        <v>0.37951228523923886</v>
      </c>
      <c r="T73" s="68">
        <f t="shared" si="49"/>
        <v>3.5795124428557776</v>
      </c>
      <c r="U73" s="5">
        <f t="shared" si="56"/>
        <v>22.946529668741814</v>
      </c>
      <c r="V73" s="72">
        <f>0.5*0.023</f>
        <v>1.15E-2</v>
      </c>
      <c r="W73" s="72">
        <v>9.9000000000000005E-2</v>
      </c>
      <c r="X73" s="70">
        <v>1.7999999999999999E-2</v>
      </c>
      <c r="Y73" s="70">
        <v>8.3684561599219429E-2</v>
      </c>
      <c r="Z73" s="80">
        <f>0.5*0.023</f>
        <v>1.15E-2</v>
      </c>
      <c r="AA73" s="70">
        <v>0.02</v>
      </c>
      <c r="AB73" s="70">
        <v>1.4999999999999999E-2</v>
      </c>
      <c r="AC73" s="70">
        <f>0.5*0.097</f>
        <v>4.8500000000000001E-2</v>
      </c>
      <c r="AD73" s="67">
        <v>0.23568456159921941</v>
      </c>
      <c r="AE73" s="5">
        <f t="shared" si="61"/>
        <v>0.24718456159921939</v>
      </c>
      <c r="AF73" s="71">
        <v>4.8401995196748565E-2</v>
      </c>
      <c r="AG73" s="250">
        <f t="shared" si="52"/>
        <v>0.35589702350550412</v>
      </c>
      <c r="AH73" s="86">
        <v>9.7605786971176816</v>
      </c>
      <c r="AI73" s="85">
        <f t="shared" si="57"/>
        <v>7.4999999999999997E-2</v>
      </c>
      <c r="AJ73" s="85" t="s">
        <v>395</v>
      </c>
      <c r="AK73" s="85" t="s">
        <v>395</v>
      </c>
      <c r="AL73" s="85">
        <f t="shared" si="58"/>
        <v>0.05</v>
      </c>
      <c r="AM73" s="85">
        <f>0.5*0.1</f>
        <v>0.05</v>
      </c>
      <c r="AN73" s="86">
        <v>1.5537340910350843</v>
      </c>
      <c r="AO73" s="86">
        <v>1.4325079960030294</v>
      </c>
      <c r="AP73" s="16" t="s">
        <v>395</v>
      </c>
      <c r="AQ73" s="86">
        <v>1.8769791281527575</v>
      </c>
      <c r="AR73" s="85">
        <v>0.20772673210079659</v>
      </c>
      <c r="AS73" s="86">
        <v>4.7992203181174471</v>
      </c>
      <c r="AT73" s="85">
        <v>0.72341635385927117</v>
      </c>
      <c r="AU73" s="85">
        <v>0.8683205713413904</v>
      </c>
      <c r="AV73" s="85">
        <f t="shared" si="60"/>
        <v>7.4999999999999997E-2</v>
      </c>
      <c r="AW73" s="85">
        <v>0.19653209878070405</v>
      </c>
      <c r="AX73" s="85" t="s">
        <v>395</v>
      </c>
      <c r="AY73" s="85" t="s">
        <v>395</v>
      </c>
      <c r="AZ73" s="85" t="s">
        <v>395</v>
      </c>
      <c r="BA73" s="85" t="s">
        <v>395</v>
      </c>
      <c r="BB73" s="85" t="s">
        <v>395</v>
      </c>
      <c r="BC73" s="5" t="s">
        <v>395</v>
      </c>
      <c r="BD73" s="5" t="s">
        <v>395</v>
      </c>
      <c r="BE73" s="5" t="s">
        <v>395</v>
      </c>
      <c r="BF73" s="5" t="s">
        <v>395</v>
      </c>
      <c r="BG73" s="5" t="s">
        <v>395</v>
      </c>
      <c r="BH73" s="5" t="s">
        <v>395</v>
      </c>
      <c r="BI73" s="5" t="s">
        <v>395</v>
      </c>
      <c r="BJ73" s="5" t="s">
        <v>395</v>
      </c>
      <c r="BK73" s="5" t="s">
        <v>395</v>
      </c>
      <c r="BL73" s="5" t="s">
        <v>395</v>
      </c>
      <c r="BM73" s="5" t="s">
        <v>395</v>
      </c>
      <c r="BN73" s="1">
        <v>50</v>
      </c>
      <c r="BO73" s="57" t="s">
        <v>395</v>
      </c>
      <c r="BP73" s="57" t="s">
        <v>395</v>
      </c>
      <c r="BQ73" s="57" t="s">
        <v>395</v>
      </c>
      <c r="BR73" s="57" t="s">
        <v>395</v>
      </c>
      <c r="BS73" s="57" t="s">
        <v>395</v>
      </c>
      <c r="BT73" s="57" t="s">
        <v>395</v>
      </c>
      <c r="BU73" s="57" t="s">
        <v>395</v>
      </c>
      <c r="BV73" s="57" t="s">
        <v>395</v>
      </c>
      <c r="BW73" s="57" t="s">
        <v>395</v>
      </c>
      <c r="BX73" s="57" t="s">
        <v>395</v>
      </c>
      <c r="BY73" s="57" t="s">
        <v>395</v>
      </c>
      <c r="BZ73" s="57" t="s">
        <v>395</v>
      </c>
      <c r="CA73" s="57" t="s">
        <v>395</v>
      </c>
      <c r="CB73" s="57" t="s">
        <v>395</v>
      </c>
      <c r="CC73" s="57" t="s">
        <v>395</v>
      </c>
      <c r="CD73" s="57" t="s">
        <v>395</v>
      </c>
      <c r="CE73" s="57" t="s">
        <v>395</v>
      </c>
      <c r="CF73" s="57" t="s">
        <v>395</v>
      </c>
      <c r="CG73" s="57" t="s">
        <v>395</v>
      </c>
      <c r="CH73" s="57" t="s">
        <v>395</v>
      </c>
      <c r="CI73" s="57" t="s">
        <v>395</v>
      </c>
      <c r="CJ73" s="57" t="s">
        <v>395</v>
      </c>
      <c r="CK73" s="57" t="s">
        <v>395</v>
      </c>
      <c r="CL73" s="57" t="s">
        <v>395</v>
      </c>
      <c r="CM73" s="57" t="s">
        <v>395</v>
      </c>
      <c r="CN73" s="57" t="s">
        <v>395</v>
      </c>
      <c r="CO73" s="57" t="s">
        <v>395</v>
      </c>
      <c r="CP73" s="57" t="s">
        <v>395</v>
      </c>
      <c r="CQ73" s="57" t="s">
        <v>395</v>
      </c>
      <c r="CR73" s="57" t="s">
        <v>395</v>
      </c>
      <c r="CS73" s="57" t="s">
        <v>395</v>
      </c>
      <c r="CT73" s="57" t="s">
        <v>395</v>
      </c>
      <c r="CU73" s="57" t="s">
        <v>395</v>
      </c>
      <c r="CV73" s="57" t="s">
        <v>395</v>
      </c>
      <c r="CW73" s="57" t="s">
        <v>395</v>
      </c>
      <c r="CX73" s="57" t="s">
        <v>395</v>
      </c>
      <c r="CY73" s="59" t="s">
        <v>395</v>
      </c>
      <c r="CZ73" s="64"/>
    </row>
    <row r="74" spans="1:112" x14ac:dyDescent="0.3">
      <c r="A74" s="93" t="s">
        <v>8</v>
      </c>
      <c r="B74" s="93" t="s">
        <v>8</v>
      </c>
      <c r="C74" s="14" t="s">
        <v>20</v>
      </c>
      <c r="G74" s="22">
        <v>44462</v>
      </c>
      <c r="H74" s="16">
        <v>2021</v>
      </c>
      <c r="I74" s="121" t="s">
        <v>33</v>
      </c>
      <c r="J74" s="121">
        <v>10</v>
      </c>
      <c r="K74" s="124">
        <v>0.66</v>
      </c>
      <c r="L74" s="5" t="s">
        <v>394</v>
      </c>
      <c r="M74" s="79">
        <f>0.5*0.039</f>
        <v>1.95E-2</v>
      </c>
      <c r="N74" s="70">
        <v>6.8170303975058466E-2</v>
      </c>
      <c r="O74" s="67">
        <v>0.46497466874512861</v>
      </c>
      <c r="P74" s="67">
        <v>0.38012470771628998</v>
      </c>
      <c r="Q74" s="68">
        <v>1.7067712392829308</v>
      </c>
      <c r="R74" s="68">
        <v>1.384937646141855</v>
      </c>
      <c r="S74" s="67">
        <v>0.67939399844115356</v>
      </c>
      <c r="T74" s="68">
        <f t="shared" si="49"/>
        <v>4.7038725643024168</v>
      </c>
      <c r="U74" s="5">
        <f t="shared" si="56"/>
        <v>32.755665580197928</v>
      </c>
      <c r="V74" s="72">
        <f>0.5*0.024</f>
        <v>1.2E-2</v>
      </c>
      <c r="W74" s="72">
        <v>4.4999999999999998E-2</v>
      </c>
      <c r="X74" s="70">
        <v>1.0999999999999999E-2</v>
      </c>
      <c r="Y74" s="72">
        <v>2.4E-2</v>
      </c>
      <c r="Z74" s="80">
        <f>0.5*0.024</f>
        <v>1.2E-2</v>
      </c>
      <c r="AA74" s="70">
        <v>1.2E-2</v>
      </c>
      <c r="AB74" s="70">
        <v>7.4999999999999997E-3</v>
      </c>
      <c r="AC74" s="70">
        <f>0.5*0.089</f>
        <v>4.4499999999999998E-2</v>
      </c>
      <c r="AD74" s="67">
        <v>9.9499999999999977E-2</v>
      </c>
      <c r="AE74" s="5">
        <f t="shared" si="61"/>
        <v>0.11149999999999997</v>
      </c>
      <c r="AF74" s="71">
        <v>1.3250194855806705E-2</v>
      </c>
      <c r="AG74" s="250">
        <f t="shared" si="52"/>
        <v>0.1003802640591417</v>
      </c>
      <c r="AH74" s="84">
        <v>18.378563705309997</v>
      </c>
      <c r="AI74" s="85">
        <f t="shared" si="57"/>
        <v>7.4999999999999997E-2</v>
      </c>
      <c r="AJ74" s="85" t="s">
        <v>395</v>
      </c>
      <c r="AK74" s="85" t="s">
        <v>395</v>
      </c>
      <c r="AL74" s="85">
        <f t="shared" si="58"/>
        <v>0.05</v>
      </c>
      <c r="AM74" s="85">
        <v>0.17546112481523596</v>
      </c>
      <c r="AN74" s="86">
        <v>5.2592321904484436</v>
      </c>
      <c r="AO74" s="85">
        <v>0.81757143231922813</v>
      </c>
      <c r="AP74" s="16" t="s">
        <v>395</v>
      </c>
      <c r="AQ74" s="86">
        <v>1.7791672045909623</v>
      </c>
      <c r="AR74" s="85">
        <f t="shared" ref="AR74:AR82" si="62">0.5*0.2</f>
        <v>0.1</v>
      </c>
      <c r="AS74" s="86">
        <v>2.1471195045711484</v>
      </c>
      <c r="AT74" s="85">
        <v>0.21911138013079098</v>
      </c>
      <c r="AU74" s="85">
        <v>0.26706215321142529</v>
      </c>
      <c r="AV74" s="85">
        <f t="shared" si="60"/>
        <v>7.4999999999999997E-2</v>
      </c>
      <c r="AW74" s="84">
        <f>0.5*0.112</f>
        <v>5.6000000000000001E-2</v>
      </c>
      <c r="AX74" s="84" t="s">
        <v>395</v>
      </c>
      <c r="AY74" s="84" t="s">
        <v>395</v>
      </c>
      <c r="AZ74" s="84" t="s">
        <v>395</v>
      </c>
      <c r="BA74" s="84" t="s">
        <v>395</v>
      </c>
      <c r="BB74" s="84" t="s">
        <v>395</v>
      </c>
      <c r="BC74" s="5" t="s">
        <v>395</v>
      </c>
      <c r="BD74" s="5" t="s">
        <v>395</v>
      </c>
      <c r="BE74" s="5" t="s">
        <v>395</v>
      </c>
      <c r="BF74" s="5" t="s">
        <v>395</v>
      </c>
      <c r="BG74" s="5" t="s">
        <v>395</v>
      </c>
      <c r="BH74" s="5" t="s">
        <v>395</v>
      </c>
      <c r="BI74" s="5" t="s">
        <v>395</v>
      </c>
      <c r="BJ74" s="5" t="s">
        <v>395</v>
      </c>
      <c r="BK74" s="5" t="s">
        <v>395</v>
      </c>
      <c r="BL74" s="5" t="s">
        <v>395</v>
      </c>
      <c r="BM74" s="5" t="s">
        <v>395</v>
      </c>
      <c r="BN74" s="1">
        <v>83</v>
      </c>
      <c r="BO74" s="57" t="s">
        <v>395</v>
      </c>
      <c r="BP74" s="57" t="s">
        <v>395</v>
      </c>
      <c r="BQ74" s="57" t="s">
        <v>395</v>
      </c>
      <c r="BR74" s="57" t="s">
        <v>395</v>
      </c>
      <c r="BS74" s="57" t="s">
        <v>395</v>
      </c>
      <c r="BT74" s="57" t="s">
        <v>395</v>
      </c>
      <c r="BU74" s="57" t="s">
        <v>395</v>
      </c>
      <c r="BV74" s="57" t="s">
        <v>395</v>
      </c>
      <c r="BW74" s="57" t="s">
        <v>395</v>
      </c>
      <c r="BX74" s="57" t="s">
        <v>395</v>
      </c>
      <c r="BY74" s="57" t="s">
        <v>395</v>
      </c>
      <c r="BZ74" s="57" t="s">
        <v>395</v>
      </c>
      <c r="CA74" s="57" t="s">
        <v>395</v>
      </c>
      <c r="CB74" s="57" t="s">
        <v>395</v>
      </c>
      <c r="CC74" s="57" t="s">
        <v>395</v>
      </c>
      <c r="CD74" s="57" t="s">
        <v>395</v>
      </c>
      <c r="CE74" s="57" t="s">
        <v>395</v>
      </c>
      <c r="CF74" s="57" t="s">
        <v>395</v>
      </c>
      <c r="CG74" s="57" t="s">
        <v>395</v>
      </c>
      <c r="CH74" s="57" t="s">
        <v>395</v>
      </c>
      <c r="CI74" s="57" t="s">
        <v>395</v>
      </c>
      <c r="CJ74" s="57" t="s">
        <v>395</v>
      </c>
      <c r="CK74" s="57" t="s">
        <v>395</v>
      </c>
      <c r="CL74" s="57" t="s">
        <v>395</v>
      </c>
      <c r="CM74" s="57" t="s">
        <v>395</v>
      </c>
      <c r="CN74" s="57" t="s">
        <v>395</v>
      </c>
      <c r="CO74" s="57" t="s">
        <v>395</v>
      </c>
      <c r="CP74" s="57" t="s">
        <v>395</v>
      </c>
      <c r="CQ74" s="57" t="s">
        <v>395</v>
      </c>
      <c r="CR74" s="57" t="s">
        <v>395</v>
      </c>
      <c r="CS74" s="57" t="s">
        <v>395</v>
      </c>
      <c r="CT74" s="57" t="s">
        <v>395</v>
      </c>
      <c r="CU74" s="57" t="s">
        <v>395</v>
      </c>
      <c r="CV74" s="57" t="s">
        <v>395</v>
      </c>
      <c r="CW74" s="57" t="s">
        <v>395</v>
      </c>
      <c r="CX74" s="57" t="s">
        <v>395</v>
      </c>
      <c r="CY74" s="59" t="s">
        <v>395</v>
      </c>
      <c r="CZ74" s="64"/>
    </row>
    <row r="75" spans="1:112" x14ac:dyDescent="0.3">
      <c r="A75" s="93" t="s">
        <v>25</v>
      </c>
      <c r="B75" s="93" t="s">
        <v>25</v>
      </c>
      <c r="C75" s="14" t="s">
        <v>20</v>
      </c>
      <c r="G75" s="22">
        <v>44468</v>
      </c>
      <c r="H75" s="16">
        <v>2021</v>
      </c>
      <c r="I75" s="121" t="s">
        <v>33</v>
      </c>
      <c r="J75" s="121">
        <v>10</v>
      </c>
      <c r="K75" s="124">
        <v>0.79</v>
      </c>
      <c r="L75" s="5" t="s">
        <v>394</v>
      </c>
      <c r="M75" s="79">
        <f>0.5*0.038</f>
        <v>1.9E-2</v>
      </c>
      <c r="N75" s="70">
        <v>7.1106008419441258E-2</v>
      </c>
      <c r="O75" s="67">
        <v>0.58649062380405659</v>
      </c>
      <c r="P75" s="67">
        <v>0.44921546115575967</v>
      </c>
      <c r="Q75" s="68">
        <v>1.9432548794489093</v>
      </c>
      <c r="R75" s="68">
        <v>1.6513298890164561</v>
      </c>
      <c r="S75" s="67">
        <v>0.65186567164179099</v>
      </c>
      <c r="T75" s="68">
        <f t="shared" si="49"/>
        <v>5.3722625334864142</v>
      </c>
      <c r="U75" s="5">
        <f t="shared" si="56"/>
        <v>31.158525774244652</v>
      </c>
      <c r="V75" s="72">
        <f>0.5*0.024</f>
        <v>1.2E-2</v>
      </c>
      <c r="W75" s="72">
        <v>5.5E-2</v>
      </c>
      <c r="X75" s="72">
        <v>1.2999999999999999E-2</v>
      </c>
      <c r="Y75" s="70">
        <v>3.5999999999999997E-2</v>
      </c>
      <c r="Z75" s="80">
        <f>0.5*0.024</f>
        <v>1.2E-2</v>
      </c>
      <c r="AA75" s="70">
        <v>1.4E-2</v>
      </c>
      <c r="AB75" s="70">
        <v>8.2000000000000007E-3</v>
      </c>
      <c r="AC75" s="67">
        <f>0.5*0.1</f>
        <v>0.05</v>
      </c>
      <c r="AD75" s="67">
        <v>0.12620000000000001</v>
      </c>
      <c r="AE75" s="5">
        <f t="shared" si="61"/>
        <v>0.13820000000000002</v>
      </c>
      <c r="AF75" s="71">
        <v>1.6934557979334099E-2</v>
      </c>
      <c r="AG75" s="250">
        <f t="shared" si="52"/>
        <v>0.1071807467046462</v>
      </c>
      <c r="AH75" s="84">
        <v>53.550483038014562</v>
      </c>
      <c r="AI75" s="85">
        <f t="shared" si="57"/>
        <v>7.4999999999999997E-2</v>
      </c>
      <c r="AJ75" s="85" t="s">
        <v>395</v>
      </c>
      <c r="AK75" s="85" t="s">
        <v>395</v>
      </c>
      <c r="AL75" s="85">
        <f t="shared" si="58"/>
        <v>0.05</v>
      </c>
      <c r="AM75" s="85">
        <f>0.5*0.1</f>
        <v>0.05</v>
      </c>
      <c r="AN75" s="86">
        <v>2.1734686005385333</v>
      </c>
      <c r="AO75" s="85">
        <v>0.55321730038434525</v>
      </c>
      <c r="AP75" s="16" t="s">
        <v>395</v>
      </c>
      <c r="AQ75" s="85">
        <v>0.80002732054220238</v>
      </c>
      <c r="AR75" s="85">
        <f t="shared" si="62"/>
        <v>0.1</v>
      </c>
      <c r="AS75" s="85">
        <v>0.89471199679138869</v>
      </c>
      <c r="AT75" s="85">
        <v>0.4157430922076526</v>
      </c>
      <c r="AU75" s="85">
        <v>0.16020400753658412</v>
      </c>
      <c r="AV75" s="85">
        <f t="shared" si="60"/>
        <v>7.4999999999999997E-2</v>
      </c>
      <c r="AW75" s="84">
        <f>0.5*0.112</f>
        <v>5.6000000000000001E-2</v>
      </c>
      <c r="AX75" s="84" t="s">
        <v>395</v>
      </c>
      <c r="AY75" s="84" t="s">
        <v>395</v>
      </c>
      <c r="AZ75" s="84" t="s">
        <v>395</v>
      </c>
      <c r="BA75" s="84" t="s">
        <v>395</v>
      </c>
      <c r="BB75" s="84" t="s">
        <v>395</v>
      </c>
      <c r="BC75" s="5" t="s">
        <v>395</v>
      </c>
      <c r="BD75" s="5" t="s">
        <v>395</v>
      </c>
      <c r="BE75" s="5" t="s">
        <v>395</v>
      </c>
      <c r="BF75" s="5" t="s">
        <v>395</v>
      </c>
      <c r="BG75" s="5" t="s">
        <v>395</v>
      </c>
      <c r="BH75" s="5" t="s">
        <v>395</v>
      </c>
      <c r="BI75" s="5" t="s">
        <v>395</v>
      </c>
      <c r="BJ75" s="5" t="s">
        <v>395</v>
      </c>
      <c r="BK75" s="5" t="s">
        <v>395</v>
      </c>
      <c r="BL75" s="5" t="s">
        <v>395</v>
      </c>
      <c r="BM75" s="5" t="s">
        <v>395</v>
      </c>
      <c r="BN75" s="1">
        <v>160</v>
      </c>
      <c r="BO75" s="57" t="s">
        <v>395</v>
      </c>
      <c r="BP75" s="57" t="s">
        <v>395</v>
      </c>
      <c r="BQ75" s="57" t="s">
        <v>395</v>
      </c>
      <c r="BR75" s="57" t="s">
        <v>395</v>
      </c>
      <c r="BS75" s="57" t="s">
        <v>395</v>
      </c>
      <c r="BT75" s="57" t="s">
        <v>395</v>
      </c>
      <c r="BU75" s="57" t="s">
        <v>395</v>
      </c>
      <c r="BV75" s="57" t="s">
        <v>395</v>
      </c>
      <c r="BW75" s="57" t="s">
        <v>395</v>
      </c>
      <c r="BX75" s="57" t="s">
        <v>395</v>
      </c>
      <c r="BY75" s="57" t="s">
        <v>395</v>
      </c>
      <c r="BZ75" s="57" t="s">
        <v>395</v>
      </c>
      <c r="CA75" s="57" t="s">
        <v>395</v>
      </c>
      <c r="CB75" s="57" t="s">
        <v>395</v>
      </c>
      <c r="CC75" s="57" t="s">
        <v>395</v>
      </c>
      <c r="CD75" s="57" t="s">
        <v>395</v>
      </c>
      <c r="CE75" s="57" t="s">
        <v>395</v>
      </c>
      <c r="CF75" s="57" t="s">
        <v>395</v>
      </c>
      <c r="CG75" s="57" t="s">
        <v>395</v>
      </c>
      <c r="CH75" s="57" t="s">
        <v>395</v>
      </c>
      <c r="CI75" s="57" t="s">
        <v>395</v>
      </c>
      <c r="CJ75" s="57" t="s">
        <v>395</v>
      </c>
      <c r="CK75" s="57" t="s">
        <v>395</v>
      </c>
      <c r="CL75" s="57" t="s">
        <v>395</v>
      </c>
      <c r="CM75" s="57" t="s">
        <v>395</v>
      </c>
      <c r="CN75" s="57" t="s">
        <v>395</v>
      </c>
      <c r="CO75" s="57" t="s">
        <v>395</v>
      </c>
      <c r="CP75" s="57" t="s">
        <v>395</v>
      </c>
      <c r="CQ75" s="57" t="s">
        <v>395</v>
      </c>
      <c r="CR75" s="57" t="s">
        <v>395</v>
      </c>
      <c r="CS75" s="57" t="s">
        <v>395</v>
      </c>
      <c r="CT75" s="57" t="s">
        <v>395</v>
      </c>
      <c r="CU75" s="57" t="s">
        <v>395</v>
      </c>
      <c r="CV75" s="57" t="s">
        <v>395</v>
      </c>
      <c r="CW75" s="57" t="s">
        <v>395</v>
      </c>
      <c r="CX75" s="57" t="s">
        <v>395</v>
      </c>
      <c r="CY75" s="59" t="s">
        <v>395</v>
      </c>
      <c r="CZ75" s="64"/>
    </row>
    <row r="76" spans="1:112" x14ac:dyDescent="0.3">
      <c r="A76" s="93" t="s">
        <v>112</v>
      </c>
      <c r="B76" s="93" t="s">
        <v>112</v>
      </c>
      <c r="C76" s="14" t="s">
        <v>20</v>
      </c>
      <c r="G76" s="65">
        <v>44469</v>
      </c>
      <c r="H76" s="16">
        <v>2021</v>
      </c>
      <c r="I76" s="121" t="s">
        <v>33</v>
      </c>
      <c r="J76" s="121">
        <v>10</v>
      </c>
      <c r="K76" s="124">
        <v>0.81</v>
      </c>
      <c r="L76" s="5" t="s">
        <v>394</v>
      </c>
      <c r="M76" s="67">
        <v>0.37008076009501201</v>
      </c>
      <c r="N76" s="68">
        <v>1.0141472684085511</v>
      </c>
      <c r="O76" s="68">
        <v>3.1991543942992875</v>
      </c>
      <c r="P76" s="68">
        <v>2.4000570071258909</v>
      </c>
      <c r="Q76" s="68">
        <v>4.9784893111638953</v>
      </c>
      <c r="R76" s="68">
        <v>4.6525035629453679</v>
      </c>
      <c r="S76" s="68">
        <v>1.4676769596199524</v>
      </c>
      <c r="T76" s="69">
        <f t="shared" si="49"/>
        <v>18.082109263657955</v>
      </c>
      <c r="U76" s="5">
        <f t="shared" si="56"/>
        <v>96.802791706988074</v>
      </c>
      <c r="V76" s="72">
        <f>0.5*0.024</f>
        <v>1.2E-2</v>
      </c>
      <c r="W76" s="72">
        <v>6.2E-2</v>
      </c>
      <c r="X76" s="72">
        <v>1.6E-2</v>
      </c>
      <c r="Y76" s="70">
        <v>4.2000000000000003E-2</v>
      </c>
      <c r="Z76" s="80">
        <f>0.5*0.024</f>
        <v>1.2E-2</v>
      </c>
      <c r="AA76" s="70">
        <v>9.7000000000000003E-3</v>
      </c>
      <c r="AB76" s="70">
        <v>8.6999999999999994E-3</v>
      </c>
      <c r="AC76" s="70">
        <f>0.5*0.087</f>
        <v>4.3499999999999997E-2</v>
      </c>
      <c r="AD76" s="67">
        <v>0.13839999999999997</v>
      </c>
      <c r="AE76" s="5">
        <f t="shared" si="61"/>
        <v>0.15039999999999998</v>
      </c>
      <c r="AF76" s="71">
        <v>2.3372921615201898E-2</v>
      </c>
      <c r="AG76" s="250">
        <f t="shared" si="52"/>
        <v>0.14427729392099936</v>
      </c>
      <c r="AH76" s="84">
        <v>14.595285000036753</v>
      </c>
      <c r="AI76" s="85">
        <f t="shared" si="57"/>
        <v>7.4999999999999997E-2</v>
      </c>
      <c r="AJ76" s="85" t="s">
        <v>395</v>
      </c>
      <c r="AK76" s="85" t="s">
        <v>395</v>
      </c>
      <c r="AL76" s="85">
        <f t="shared" si="58"/>
        <v>0.05</v>
      </c>
      <c r="AM76" s="85">
        <f>0.5*0.1</f>
        <v>0.05</v>
      </c>
      <c r="AN76" s="85">
        <v>0.9648351473155965</v>
      </c>
      <c r="AO76" s="85">
        <f>0.5*0.15</f>
        <v>7.4999999999999997E-2</v>
      </c>
      <c r="AP76" s="16" t="s">
        <v>395</v>
      </c>
      <c r="AQ76" s="85">
        <v>0.71601559570550888</v>
      </c>
      <c r="AR76" s="85">
        <f t="shared" si="62"/>
        <v>0.1</v>
      </c>
      <c r="AS76" s="86">
        <v>1.5043430956399599</v>
      </c>
      <c r="AT76" s="85">
        <v>0.35278145607877065</v>
      </c>
      <c r="AU76" s="85">
        <v>0.41062659946702407</v>
      </c>
      <c r="AV76" s="85">
        <f t="shared" si="60"/>
        <v>7.4999999999999997E-2</v>
      </c>
      <c r="AW76" s="85">
        <v>0.18</v>
      </c>
      <c r="AX76" s="85" t="s">
        <v>395</v>
      </c>
      <c r="AY76" s="85" t="s">
        <v>395</v>
      </c>
      <c r="AZ76" s="85" t="s">
        <v>395</v>
      </c>
      <c r="BA76" s="85" t="s">
        <v>395</v>
      </c>
      <c r="BB76" s="85" t="s">
        <v>395</v>
      </c>
      <c r="BC76" s="5" t="s">
        <v>395</v>
      </c>
      <c r="BD76" s="5" t="s">
        <v>395</v>
      </c>
      <c r="BE76" s="5" t="s">
        <v>395</v>
      </c>
      <c r="BF76" s="5" t="s">
        <v>395</v>
      </c>
      <c r="BG76" s="5" t="s">
        <v>395</v>
      </c>
      <c r="BH76" s="5" t="s">
        <v>395</v>
      </c>
      <c r="BI76" s="5" t="s">
        <v>395</v>
      </c>
      <c r="BJ76" s="5" t="s">
        <v>395</v>
      </c>
      <c r="BK76" s="5" t="s">
        <v>395</v>
      </c>
      <c r="BL76" s="5" t="s">
        <v>395</v>
      </c>
      <c r="BM76" s="5" t="s">
        <v>395</v>
      </c>
      <c r="BN76" s="1">
        <v>150</v>
      </c>
      <c r="BO76" s="57" t="s">
        <v>395</v>
      </c>
      <c r="BP76" s="57" t="s">
        <v>395</v>
      </c>
      <c r="BQ76" s="57" t="s">
        <v>395</v>
      </c>
      <c r="BR76" s="57" t="s">
        <v>395</v>
      </c>
      <c r="BS76" s="57" t="s">
        <v>395</v>
      </c>
      <c r="BT76" s="57" t="s">
        <v>395</v>
      </c>
      <c r="BU76" s="57" t="s">
        <v>395</v>
      </c>
      <c r="BV76" s="57" t="s">
        <v>395</v>
      </c>
      <c r="BW76" s="57" t="s">
        <v>395</v>
      </c>
      <c r="BX76" s="57" t="s">
        <v>395</v>
      </c>
      <c r="BY76" s="57" t="s">
        <v>395</v>
      </c>
      <c r="BZ76" s="57" t="s">
        <v>395</v>
      </c>
      <c r="CA76" s="57" t="s">
        <v>395</v>
      </c>
      <c r="CB76" s="57" t="s">
        <v>395</v>
      </c>
      <c r="CC76" s="57" t="s">
        <v>395</v>
      </c>
      <c r="CD76" s="57" t="s">
        <v>395</v>
      </c>
      <c r="CE76" s="57" t="s">
        <v>395</v>
      </c>
      <c r="CF76" s="57" t="s">
        <v>395</v>
      </c>
      <c r="CG76" s="57" t="s">
        <v>395</v>
      </c>
      <c r="CH76" s="57" t="s">
        <v>395</v>
      </c>
      <c r="CI76" s="57" t="s">
        <v>395</v>
      </c>
      <c r="CJ76" s="57" t="s">
        <v>395</v>
      </c>
      <c r="CK76" s="57" t="s">
        <v>395</v>
      </c>
      <c r="CL76" s="57" t="s">
        <v>395</v>
      </c>
      <c r="CM76" s="57" t="s">
        <v>395</v>
      </c>
      <c r="CN76" s="57" t="s">
        <v>395</v>
      </c>
      <c r="CO76" s="57" t="s">
        <v>395</v>
      </c>
      <c r="CP76" s="57" t="s">
        <v>395</v>
      </c>
      <c r="CQ76" s="57" t="s">
        <v>395</v>
      </c>
      <c r="CR76" s="57" t="s">
        <v>395</v>
      </c>
      <c r="CS76" s="57" t="s">
        <v>395</v>
      </c>
      <c r="CT76" s="57" t="s">
        <v>395</v>
      </c>
      <c r="CU76" s="57" t="s">
        <v>395</v>
      </c>
      <c r="CV76" s="57" t="s">
        <v>395</v>
      </c>
      <c r="CW76" s="57" t="s">
        <v>395</v>
      </c>
      <c r="CX76" s="57" t="s">
        <v>395</v>
      </c>
      <c r="CY76" s="59" t="s">
        <v>395</v>
      </c>
      <c r="CZ76" s="64"/>
    </row>
    <row r="77" spans="1:112" x14ac:dyDescent="0.3">
      <c r="A77" s="93" t="s">
        <v>23</v>
      </c>
      <c r="B77" s="93" t="s">
        <v>23</v>
      </c>
      <c r="C77" s="14" t="s">
        <v>20</v>
      </c>
      <c r="G77" s="65">
        <v>44447</v>
      </c>
      <c r="H77" s="16">
        <v>2021</v>
      </c>
      <c r="I77" s="121" t="s">
        <v>33</v>
      </c>
      <c r="J77" s="121">
        <v>10</v>
      </c>
      <c r="K77" s="124">
        <v>0.72</v>
      </c>
      <c r="L77" s="5" t="s">
        <v>394</v>
      </c>
      <c r="M77" s="67">
        <v>0.16807266009852218</v>
      </c>
      <c r="N77" s="68">
        <v>1.2684113300492612</v>
      </c>
      <c r="O77" s="68">
        <v>6.1183087027914613</v>
      </c>
      <c r="P77" s="68">
        <v>5.1201867816091955</v>
      </c>
      <c r="Q77" s="69">
        <v>12.398983990147784</v>
      </c>
      <c r="R77" s="69">
        <v>11.493257389162562</v>
      </c>
      <c r="S77" s="68">
        <v>4.0024425287356324</v>
      </c>
      <c r="T77" s="69">
        <f t="shared" si="49"/>
        <v>40.56966338259442</v>
      </c>
      <c r="U77" s="5">
        <f t="shared" si="56"/>
        <v>246.17692084017514</v>
      </c>
      <c r="V77" s="72">
        <f>0.5*0.026</f>
        <v>1.2999999999999999E-2</v>
      </c>
      <c r="W77" s="72">
        <v>7.0999999999999994E-2</v>
      </c>
      <c r="X77" s="72">
        <v>1.4999999999999999E-2</v>
      </c>
      <c r="Y77" s="72">
        <v>3.4000000000000002E-2</v>
      </c>
      <c r="Z77" s="80">
        <f>0.5*0.026</f>
        <v>1.2999999999999999E-2</v>
      </c>
      <c r="AA77" s="70">
        <v>1.2E-2</v>
      </c>
      <c r="AB77" s="70">
        <v>1.2E-2</v>
      </c>
      <c r="AC77" s="70">
        <f>0.5*0.094</f>
        <v>4.7E-2</v>
      </c>
      <c r="AD77" s="67">
        <v>0.14400000000000002</v>
      </c>
      <c r="AE77" s="5">
        <f t="shared" si="61"/>
        <v>0.15700000000000003</v>
      </c>
      <c r="AF77" s="70">
        <v>2.0525451559934321E-2</v>
      </c>
      <c r="AG77" s="250">
        <f t="shared" si="52"/>
        <v>0.14253785805509947</v>
      </c>
      <c r="AH77" s="84">
        <v>89.383142303732086</v>
      </c>
      <c r="AI77" s="85">
        <f t="shared" si="57"/>
        <v>7.4999999999999997E-2</v>
      </c>
      <c r="AJ77" s="85" t="s">
        <v>395</v>
      </c>
      <c r="AK77" s="85" t="s">
        <v>395</v>
      </c>
      <c r="AL77" s="85">
        <f t="shared" si="58"/>
        <v>0.05</v>
      </c>
      <c r="AM77" s="85">
        <v>0.10435360318770343</v>
      </c>
      <c r="AN77" s="86">
        <v>2.9659740410781943</v>
      </c>
      <c r="AO77" s="85">
        <v>0.99273532175378953</v>
      </c>
      <c r="AP77" s="16" t="s">
        <v>395</v>
      </c>
      <c r="AQ77" s="85">
        <v>3.278576153484436</v>
      </c>
      <c r="AR77" s="85">
        <f t="shared" si="62"/>
        <v>0.1</v>
      </c>
      <c r="AS77" s="86">
        <v>6.7247678930414283</v>
      </c>
      <c r="AT77" s="86">
        <v>1.8747335048867817</v>
      </c>
      <c r="AU77" s="86">
        <v>3.3278478730847838</v>
      </c>
      <c r="AV77" s="85">
        <f t="shared" si="60"/>
        <v>7.4999999999999997E-2</v>
      </c>
      <c r="AW77" s="84">
        <f>0.5*0.112</f>
        <v>5.6000000000000001E-2</v>
      </c>
      <c r="AX77" s="84" t="s">
        <v>395</v>
      </c>
      <c r="AY77" s="84" t="s">
        <v>395</v>
      </c>
      <c r="AZ77" s="84" t="s">
        <v>395</v>
      </c>
      <c r="BA77" s="84" t="s">
        <v>395</v>
      </c>
      <c r="BB77" s="84" t="s">
        <v>395</v>
      </c>
      <c r="BC77" s="5" t="s">
        <v>395</v>
      </c>
      <c r="BD77" s="5" t="s">
        <v>395</v>
      </c>
      <c r="BE77" s="5" t="s">
        <v>395</v>
      </c>
      <c r="BF77" s="5" t="s">
        <v>395</v>
      </c>
      <c r="BG77" s="5" t="s">
        <v>395</v>
      </c>
      <c r="BH77" s="5" t="s">
        <v>395</v>
      </c>
      <c r="BI77" s="5" t="s">
        <v>395</v>
      </c>
      <c r="BJ77" s="5" t="s">
        <v>395</v>
      </c>
      <c r="BK77" s="5" t="s">
        <v>395</v>
      </c>
      <c r="BL77" s="5" t="s">
        <v>395</v>
      </c>
      <c r="BM77" s="5" t="s">
        <v>395</v>
      </c>
      <c r="BN77" s="1">
        <v>590</v>
      </c>
      <c r="BO77" s="57" t="s">
        <v>395</v>
      </c>
      <c r="BP77" s="57" t="s">
        <v>395</v>
      </c>
      <c r="BQ77" s="57" t="s">
        <v>395</v>
      </c>
      <c r="BR77" s="57" t="s">
        <v>395</v>
      </c>
      <c r="BS77" s="57" t="s">
        <v>395</v>
      </c>
      <c r="BT77" s="57" t="s">
        <v>395</v>
      </c>
      <c r="BU77" s="57" t="s">
        <v>395</v>
      </c>
      <c r="BV77" s="57" t="s">
        <v>395</v>
      </c>
      <c r="BW77" s="57" t="s">
        <v>395</v>
      </c>
      <c r="BX77" s="57" t="s">
        <v>395</v>
      </c>
      <c r="BY77" s="57" t="s">
        <v>395</v>
      </c>
      <c r="BZ77" s="57" t="s">
        <v>395</v>
      </c>
      <c r="CA77" s="57" t="s">
        <v>395</v>
      </c>
      <c r="CB77" s="57" t="s">
        <v>395</v>
      </c>
      <c r="CC77" s="57" t="s">
        <v>395</v>
      </c>
      <c r="CD77" s="57" t="s">
        <v>395</v>
      </c>
      <c r="CE77" s="57" t="s">
        <v>395</v>
      </c>
      <c r="CF77" s="57" t="s">
        <v>395</v>
      </c>
      <c r="CG77" s="57" t="s">
        <v>395</v>
      </c>
      <c r="CH77" s="57" t="s">
        <v>395</v>
      </c>
      <c r="CI77" s="57" t="s">
        <v>395</v>
      </c>
      <c r="CJ77" s="57" t="s">
        <v>395</v>
      </c>
      <c r="CK77" s="57" t="s">
        <v>395</v>
      </c>
      <c r="CL77" s="57" t="s">
        <v>395</v>
      </c>
      <c r="CM77" s="57" t="s">
        <v>395</v>
      </c>
      <c r="CN77" s="57" t="s">
        <v>395</v>
      </c>
      <c r="CO77" s="57" t="s">
        <v>395</v>
      </c>
      <c r="CP77" s="57" t="s">
        <v>395</v>
      </c>
      <c r="CQ77" s="57" t="s">
        <v>395</v>
      </c>
      <c r="CR77" s="57" t="s">
        <v>395</v>
      </c>
      <c r="CS77" s="57" t="s">
        <v>395</v>
      </c>
      <c r="CT77" s="57" t="s">
        <v>395</v>
      </c>
      <c r="CU77" s="57" t="s">
        <v>395</v>
      </c>
      <c r="CV77" s="57" t="s">
        <v>395</v>
      </c>
      <c r="CW77" s="57" t="s">
        <v>395</v>
      </c>
      <c r="CX77" s="57" t="s">
        <v>395</v>
      </c>
      <c r="CY77" s="59" t="s">
        <v>395</v>
      </c>
      <c r="CZ77" s="64"/>
    </row>
    <row r="78" spans="1:112" x14ac:dyDescent="0.3">
      <c r="A78" s="93" t="s">
        <v>27</v>
      </c>
      <c r="B78" s="93" t="s">
        <v>27</v>
      </c>
      <c r="C78" s="14" t="s">
        <v>20</v>
      </c>
      <c r="G78" s="65">
        <v>44480</v>
      </c>
      <c r="H78" s="16">
        <v>2021</v>
      </c>
      <c r="I78" s="121" t="s">
        <v>33</v>
      </c>
      <c r="J78" s="121">
        <v>10</v>
      </c>
      <c r="K78" s="124">
        <v>0.78</v>
      </c>
      <c r="L78" s="5" t="s">
        <v>394</v>
      </c>
      <c r="M78" s="70">
        <v>6.4667730991817995E-2</v>
      </c>
      <c r="N78" s="67">
        <v>0.23233885452005587</v>
      </c>
      <c r="O78" s="67">
        <v>0.55007982438635006</v>
      </c>
      <c r="P78" s="67">
        <v>0.57785871083616036</v>
      </c>
      <c r="Q78" s="68">
        <v>1.1316703252843743</v>
      </c>
      <c r="R78" s="68">
        <v>0.99814408301736168</v>
      </c>
      <c r="S78" s="67">
        <v>0.32330872081420875</v>
      </c>
      <c r="T78" s="68">
        <f t="shared" si="49"/>
        <v>3.8780682498503292</v>
      </c>
      <c r="U78" s="5">
        <f t="shared" si="56"/>
        <v>21.155189352654926</v>
      </c>
      <c r="V78" s="72">
        <f>0.5*0.025</f>
        <v>1.2500000000000001E-2</v>
      </c>
      <c r="W78" s="70">
        <v>3.7999999999999999E-2</v>
      </c>
      <c r="X78" s="70">
        <v>8.8000000000000005E-3</v>
      </c>
      <c r="Y78" s="70">
        <v>3.4000000000000002E-2</v>
      </c>
      <c r="Z78" s="80">
        <f>0.5*0.025</f>
        <v>1.2500000000000001E-2</v>
      </c>
      <c r="AA78" s="70">
        <v>9.2999999999999992E-3</v>
      </c>
      <c r="AB78" s="70">
        <v>7.7999999999999996E-3</v>
      </c>
      <c r="AC78" s="70">
        <f>0.5*0.092</f>
        <v>4.5999999999999999E-2</v>
      </c>
      <c r="AD78" s="67">
        <v>9.7900000000000015E-2</v>
      </c>
      <c r="AE78" s="5">
        <f t="shared" si="61"/>
        <v>0.11040000000000001</v>
      </c>
      <c r="AF78" s="71">
        <f>0.5*0.004989</f>
        <v>2.4945000000000002E-3</v>
      </c>
      <c r="AG78" s="250" t="s">
        <v>395</v>
      </c>
      <c r="AH78" s="84">
        <v>19.842468523640925</v>
      </c>
      <c r="AI78" s="85">
        <v>0.22641262881234236</v>
      </c>
      <c r="AJ78" s="85" t="s">
        <v>395</v>
      </c>
      <c r="AK78" s="85" t="s">
        <v>395</v>
      </c>
      <c r="AL78" s="85">
        <f t="shared" si="58"/>
        <v>0.05</v>
      </c>
      <c r="AM78" s="85">
        <f>0.5*0.1</f>
        <v>0.05</v>
      </c>
      <c r="AN78" s="85">
        <f>0.5*0.5</f>
        <v>0.25</v>
      </c>
      <c r="AO78" s="85">
        <f>0.5*0.15</f>
        <v>7.4999999999999997E-2</v>
      </c>
      <c r="AP78" s="16" t="s">
        <v>395</v>
      </c>
      <c r="AQ78" s="85">
        <v>0.69689128171697434</v>
      </c>
      <c r="AR78" s="85">
        <f t="shared" si="62"/>
        <v>0.1</v>
      </c>
      <c r="AS78" s="85">
        <v>0.26511430307991918</v>
      </c>
      <c r="AT78" s="85">
        <f>0.5*0.2</f>
        <v>0.1</v>
      </c>
      <c r="AU78" s="85">
        <f>0.5*0.15</f>
        <v>7.4999999999999997E-2</v>
      </c>
      <c r="AV78" s="85">
        <f t="shared" si="60"/>
        <v>7.4999999999999997E-2</v>
      </c>
      <c r="AW78" s="84">
        <f>0.5*0.112</f>
        <v>5.6000000000000001E-2</v>
      </c>
      <c r="AX78" s="84" t="s">
        <v>395</v>
      </c>
      <c r="AY78" s="84" t="s">
        <v>395</v>
      </c>
      <c r="AZ78" s="84" t="s">
        <v>395</v>
      </c>
      <c r="BA78" s="84" t="s">
        <v>395</v>
      </c>
      <c r="BB78" s="84" t="s">
        <v>395</v>
      </c>
      <c r="BC78" s="5" t="s">
        <v>395</v>
      </c>
      <c r="BD78" s="5" t="s">
        <v>395</v>
      </c>
      <c r="BE78" s="5" t="s">
        <v>395</v>
      </c>
      <c r="BF78" s="5" t="s">
        <v>395</v>
      </c>
      <c r="BG78" s="5" t="s">
        <v>395</v>
      </c>
      <c r="BH78" s="5" t="s">
        <v>395</v>
      </c>
      <c r="BI78" s="5" t="s">
        <v>395</v>
      </c>
      <c r="BJ78" s="5" t="s">
        <v>395</v>
      </c>
      <c r="BK78" s="5" t="s">
        <v>395</v>
      </c>
      <c r="BL78" s="5" t="s">
        <v>395</v>
      </c>
      <c r="BM78" s="5" t="s">
        <v>395</v>
      </c>
      <c r="BN78" s="1">
        <v>89</v>
      </c>
      <c r="BO78" s="57" t="s">
        <v>395</v>
      </c>
      <c r="BP78" s="57" t="s">
        <v>395</v>
      </c>
      <c r="BQ78" s="57" t="s">
        <v>395</v>
      </c>
      <c r="BR78" s="57" t="s">
        <v>395</v>
      </c>
      <c r="BS78" s="57" t="s">
        <v>395</v>
      </c>
      <c r="BT78" s="57" t="s">
        <v>395</v>
      </c>
      <c r="BU78" s="57" t="s">
        <v>395</v>
      </c>
      <c r="BV78" s="57" t="s">
        <v>395</v>
      </c>
      <c r="BW78" s="57" t="s">
        <v>395</v>
      </c>
      <c r="BX78" s="57" t="s">
        <v>395</v>
      </c>
      <c r="BY78" s="57" t="s">
        <v>395</v>
      </c>
      <c r="BZ78" s="57" t="s">
        <v>395</v>
      </c>
      <c r="CA78" s="57" t="s">
        <v>395</v>
      </c>
      <c r="CB78" s="57" t="s">
        <v>395</v>
      </c>
      <c r="CC78" s="57" t="s">
        <v>395</v>
      </c>
      <c r="CD78" s="57" t="s">
        <v>395</v>
      </c>
      <c r="CE78" s="57" t="s">
        <v>395</v>
      </c>
      <c r="CF78" s="57" t="s">
        <v>395</v>
      </c>
      <c r="CG78" s="57" t="s">
        <v>395</v>
      </c>
      <c r="CH78" s="57" t="s">
        <v>395</v>
      </c>
      <c r="CI78" s="57" t="s">
        <v>395</v>
      </c>
      <c r="CJ78" s="57" t="s">
        <v>395</v>
      </c>
      <c r="CK78" s="57" t="s">
        <v>395</v>
      </c>
      <c r="CL78" s="57" t="s">
        <v>395</v>
      </c>
      <c r="CM78" s="57" t="s">
        <v>395</v>
      </c>
      <c r="CN78" s="57" t="s">
        <v>395</v>
      </c>
      <c r="CO78" s="57" t="s">
        <v>395</v>
      </c>
      <c r="CP78" s="57" t="s">
        <v>395</v>
      </c>
      <c r="CQ78" s="57" t="s">
        <v>395</v>
      </c>
      <c r="CR78" s="57" t="s">
        <v>395</v>
      </c>
      <c r="CS78" s="57" t="s">
        <v>395</v>
      </c>
      <c r="CT78" s="57" t="s">
        <v>395</v>
      </c>
      <c r="CU78" s="57" t="s">
        <v>395</v>
      </c>
      <c r="CV78" s="57" t="s">
        <v>395</v>
      </c>
      <c r="CW78" s="57" t="s">
        <v>395</v>
      </c>
      <c r="CX78" s="57" t="s">
        <v>395</v>
      </c>
      <c r="CY78" s="59" t="s">
        <v>395</v>
      </c>
      <c r="CZ78" s="64"/>
    </row>
    <row r="79" spans="1:112" x14ac:dyDescent="0.3">
      <c r="A79" s="93" t="s">
        <v>6</v>
      </c>
      <c r="B79" s="93" t="s">
        <v>132</v>
      </c>
      <c r="C79" s="14" t="s">
        <v>20</v>
      </c>
      <c r="G79" s="65">
        <v>44435</v>
      </c>
      <c r="H79" s="16">
        <v>2021</v>
      </c>
      <c r="I79" s="121" t="s">
        <v>33</v>
      </c>
      <c r="J79" s="121">
        <v>10</v>
      </c>
      <c r="K79" s="124">
        <v>0.77</v>
      </c>
      <c r="L79" s="5" t="s">
        <v>394</v>
      </c>
      <c r="M79" s="70">
        <v>2.7494766224703416E-2</v>
      </c>
      <c r="N79" s="67">
        <v>0.20184428272355698</v>
      </c>
      <c r="O79" s="68">
        <v>1.0788356096102083</v>
      </c>
      <c r="P79" s="67">
        <v>0.93971687767919443</v>
      </c>
      <c r="Q79" s="68">
        <v>2.7371548200578206</v>
      </c>
      <c r="R79" s="68">
        <v>2.2223008673113345</v>
      </c>
      <c r="S79" s="67">
        <v>0.89186521782474337</v>
      </c>
      <c r="T79" s="68">
        <f t="shared" si="49"/>
        <v>8.0992124414315629</v>
      </c>
      <c r="U79" s="5">
        <f t="shared" si="56"/>
        <v>46.490230933456928</v>
      </c>
      <c r="V79" s="72">
        <f>0.5*0.025</f>
        <v>1.2500000000000001E-2</v>
      </c>
      <c r="W79" s="67">
        <v>0.1</v>
      </c>
      <c r="X79" s="70">
        <v>2.1999999999999999E-2</v>
      </c>
      <c r="Y79" s="70">
        <v>6.8000000000000005E-2</v>
      </c>
      <c r="Z79" s="80">
        <f>0.5*0.025</f>
        <v>1.2500000000000001E-2</v>
      </c>
      <c r="AA79" s="70">
        <v>1.9E-2</v>
      </c>
      <c r="AB79" s="70">
        <v>1.2999999999999999E-2</v>
      </c>
      <c r="AC79" s="70">
        <f>0.5*0.097</f>
        <v>4.8500000000000001E-2</v>
      </c>
      <c r="AD79" s="67">
        <v>0.222</v>
      </c>
      <c r="AE79" s="5">
        <f t="shared" si="61"/>
        <v>0.23449999999999999</v>
      </c>
      <c r="AF79" s="71">
        <v>2.213139268268368E-2</v>
      </c>
      <c r="AG79" s="250">
        <f t="shared" si="52"/>
        <v>0.14371034209534858</v>
      </c>
      <c r="AH79" s="86">
        <v>8.9967972601242625</v>
      </c>
      <c r="AI79" s="85">
        <f>0.5*0.15</f>
        <v>7.4999999999999997E-2</v>
      </c>
      <c r="AJ79" s="85" t="s">
        <v>395</v>
      </c>
      <c r="AK79" s="85" t="s">
        <v>395</v>
      </c>
      <c r="AL79" s="85">
        <f t="shared" si="58"/>
        <v>0.05</v>
      </c>
      <c r="AM79" s="85">
        <f>0.5*0.1</f>
        <v>0.05</v>
      </c>
      <c r="AN79" s="86">
        <v>1.7456987752757778</v>
      </c>
      <c r="AO79" s="85">
        <f>0.5*0.15</f>
        <v>7.4999999999999997E-2</v>
      </c>
      <c r="AP79" s="16" t="s">
        <v>395</v>
      </c>
      <c r="AQ79" s="85">
        <v>0.35805761924028495</v>
      </c>
      <c r="AR79" s="85">
        <f t="shared" si="62"/>
        <v>0.1</v>
      </c>
      <c r="AS79" s="85">
        <v>0.40433534818721278</v>
      </c>
      <c r="AT79" s="85">
        <f>0.5*0.2</f>
        <v>0.1</v>
      </c>
      <c r="AU79" s="85">
        <f>0.5*0.15</f>
        <v>7.4999999999999997E-2</v>
      </c>
      <c r="AV79" s="85">
        <f t="shared" si="60"/>
        <v>7.4999999999999997E-2</v>
      </c>
      <c r="AW79" s="85">
        <v>0.25775083361236673</v>
      </c>
      <c r="AX79" s="85" t="s">
        <v>395</v>
      </c>
      <c r="AY79" s="85" t="s">
        <v>395</v>
      </c>
      <c r="AZ79" s="85" t="s">
        <v>395</v>
      </c>
      <c r="BA79" s="85" t="s">
        <v>395</v>
      </c>
      <c r="BB79" s="85" t="s">
        <v>395</v>
      </c>
      <c r="BC79" s="5" t="s">
        <v>395</v>
      </c>
      <c r="BD79" s="5" t="s">
        <v>395</v>
      </c>
      <c r="BE79" s="5" t="s">
        <v>395</v>
      </c>
      <c r="BF79" s="5" t="s">
        <v>395</v>
      </c>
      <c r="BG79" s="5" t="s">
        <v>395</v>
      </c>
      <c r="BH79" s="5" t="s">
        <v>395</v>
      </c>
      <c r="BI79" s="5" t="s">
        <v>395</v>
      </c>
      <c r="BJ79" s="5" t="s">
        <v>395</v>
      </c>
      <c r="BK79" s="5" t="s">
        <v>395</v>
      </c>
      <c r="BL79" s="5" t="s">
        <v>395</v>
      </c>
      <c r="BM79" s="5" t="s">
        <v>395</v>
      </c>
      <c r="BN79" s="1">
        <v>37</v>
      </c>
      <c r="BO79" s="57" t="s">
        <v>395</v>
      </c>
      <c r="BP79" s="57" t="s">
        <v>395</v>
      </c>
      <c r="BQ79" s="57" t="s">
        <v>395</v>
      </c>
      <c r="BR79" s="57" t="s">
        <v>395</v>
      </c>
      <c r="BS79" s="57" t="s">
        <v>395</v>
      </c>
      <c r="BT79" s="57" t="s">
        <v>395</v>
      </c>
      <c r="BU79" s="57" t="s">
        <v>395</v>
      </c>
      <c r="BV79" s="57" t="s">
        <v>395</v>
      </c>
      <c r="BW79" s="57" t="s">
        <v>395</v>
      </c>
      <c r="BX79" s="57" t="s">
        <v>395</v>
      </c>
      <c r="BY79" s="57" t="s">
        <v>395</v>
      </c>
      <c r="BZ79" s="57" t="s">
        <v>395</v>
      </c>
      <c r="CA79" s="57" t="s">
        <v>395</v>
      </c>
      <c r="CB79" s="57" t="s">
        <v>395</v>
      </c>
      <c r="CC79" s="57" t="s">
        <v>395</v>
      </c>
      <c r="CD79" s="57" t="s">
        <v>395</v>
      </c>
      <c r="CE79" s="57" t="s">
        <v>395</v>
      </c>
      <c r="CF79" s="57" t="s">
        <v>395</v>
      </c>
      <c r="CG79" s="57" t="s">
        <v>395</v>
      </c>
      <c r="CH79" s="57" t="s">
        <v>395</v>
      </c>
      <c r="CI79" s="57" t="s">
        <v>395</v>
      </c>
      <c r="CJ79" s="57" t="s">
        <v>395</v>
      </c>
      <c r="CK79" s="57" t="s">
        <v>395</v>
      </c>
      <c r="CL79" s="57" t="s">
        <v>395</v>
      </c>
      <c r="CM79" s="57" t="s">
        <v>395</v>
      </c>
      <c r="CN79" s="57" t="s">
        <v>395</v>
      </c>
      <c r="CO79" s="57" t="s">
        <v>395</v>
      </c>
      <c r="CP79" s="57" t="s">
        <v>395</v>
      </c>
      <c r="CQ79" s="57" t="s">
        <v>395</v>
      </c>
      <c r="CR79" s="57" t="s">
        <v>395</v>
      </c>
      <c r="CS79" s="57" t="s">
        <v>395</v>
      </c>
      <c r="CT79" s="57" t="s">
        <v>395</v>
      </c>
      <c r="CU79" s="57" t="s">
        <v>395</v>
      </c>
      <c r="CV79" s="57" t="s">
        <v>395</v>
      </c>
      <c r="CW79" s="57" t="s">
        <v>395</v>
      </c>
      <c r="CX79" s="57" t="s">
        <v>395</v>
      </c>
      <c r="CY79" s="59" t="s">
        <v>395</v>
      </c>
      <c r="CZ79" s="64"/>
    </row>
    <row r="80" spans="1:112" x14ac:dyDescent="0.3">
      <c r="A80" s="93" t="s">
        <v>30</v>
      </c>
      <c r="B80" s="93" t="s">
        <v>30</v>
      </c>
      <c r="C80" s="14" t="s">
        <v>20</v>
      </c>
      <c r="G80" s="65">
        <v>44480</v>
      </c>
      <c r="H80" s="16">
        <v>2021</v>
      </c>
      <c r="I80" s="121" t="s">
        <v>33</v>
      </c>
      <c r="J80" s="121">
        <v>10</v>
      </c>
      <c r="K80" s="125">
        <v>0.9</v>
      </c>
      <c r="L80" s="5" t="s">
        <v>394</v>
      </c>
      <c r="M80" s="70">
        <v>5.7567093977681456E-2</v>
      </c>
      <c r="N80" s="67">
        <v>0.41581204463709309</v>
      </c>
      <c r="O80" s="68">
        <v>1.7456239048233884</v>
      </c>
      <c r="P80" s="68">
        <v>1.548621230286821</v>
      </c>
      <c r="Q80" s="68">
        <v>3.3733330259153371</v>
      </c>
      <c r="R80" s="68">
        <v>2.950700913031449</v>
      </c>
      <c r="S80" s="67">
        <v>0.92762150696301759</v>
      </c>
      <c r="T80" s="69">
        <f t="shared" si="49"/>
        <v>11.019279719634788</v>
      </c>
      <c r="U80" s="5">
        <f t="shared" si="56"/>
        <v>52.614769385266477</v>
      </c>
      <c r="V80" s="70">
        <f>0.5*0.023</f>
        <v>1.15E-2</v>
      </c>
      <c r="W80" s="70">
        <v>6.3E-2</v>
      </c>
      <c r="X80" s="72">
        <v>1.4999999999999999E-2</v>
      </c>
      <c r="Y80" s="70">
        <v>3.7999999999999999E-2</v>
      </c>
      <c r="Z80" s="73">
        <f>0.5*0.023</f>
        <v>1.15E-2</v>
      </c>
      <c r="AA80" s="70">
        <v>1.2E-2</v>
      </c>
      <c r="AB80" s="70">
        <v>0.01</v>
      </c>
      <c r="AC80" s="70">
        <f>0.5*0.096</f>
        <v>4.8000000000000001E-2</v>
      </c>
      <c r="AD80" s="67">
        <v>0.13800000000000001</v>
      </c>
      <c r="AE80" s="5">
        <f t="shared" si="61"/>
        <v>0.14950000000000002</v>
      </c>
      <c r="AF80" s="71">
        <v>2.0381813151341882E-2</v>
      </c>
      <c r="AG80" s="250">
        <f t="shared" si="52"/>
        <v>0.11323229528523267</v>
      </c>
      <c r="AH80" s="84">
        <v>29.001725415787913</v>
      </c>
      <c r="AI80" s="85">
        <f>0.5*0.15</f>
        <v>7.4999999999999997E-2</v>
      </c>
      <c r="AJ80" s="85" t="s">
        <v>395</v>
      </c>
      <c r="AK80" s="85" t="s">
        <v>395</v>
      </c>
      <c r="AL80" s="85">
        <f t="shared" si="58"/>
        <v>0.05</v>
      </c>
      <c r="AM80" s="85">
        <v>0.1098294067044067</v>
      </c>
      <c r="AN80" s="85">
        <v>3.0447726463351463</v>
      </c>
      <c r="AO80" s="85">
        <v>0.62757815101565095</v>
      </c>
      <c r="AP80" s="16" t="s">
        <v>395</v>
      </c>
      <c r="AQ80" s="86">
        <v>1.7689425736300735</v>
      </c>
      <c r="AR80" s="85">
        <f t="shared" si="62"/>
        <v>0.1</v>
      </c>
      <c r="AS80" s="86">
        <v>2.2795847092722092</v>
      </c>
      <c r="AT80" s="85">
        <v>0.28921743765493763</v>
      </c>
      <c r="AU80" s="85">
        <v>0.38504897879897881</v>
      </c>
      <c r="AV80" s="85">
        <f t="shared" si="60"/>
        <v>7.4999999999999997E-2</v>
      </c>
      <c r="AW80" s="84">
        <f>0.5*0.112</f>
        <v>5.6000000000000001E-2</v>
      </c>
      <c r="AX80" s="84" t="s">
        <v>395</v>
      </c>
      <c r="AY80" s="84" t="s">
        <v>395</v>
      </c>
      <c r="AZ80" s="84" t="s">
        <v>395</v>
      </c>
      <c r="BA80" s="84" t="s">
        <v>395</v>
      </c>
      <c r="BB80" s="84" t="s">
        <v>395</v>
      </c>
      <c r="BC80" s="5" t="s">
        <v>395</v>
      </c>
      <c r="BD80" s="5" t="s">
        <v>395</v>
      </c>
      <c r="BE80" s="5" t="s">
        <v>395</v>
      </c>
      <c r="BF80" s="5" t="s">
        <v>395</v>
      </c>
      <c r="BG80" s="5" t="s">
        <v>395</v>
      </c>
      <c r="BH80" s="5" t="s">
        <v>395</v>
      </c>
      <c r="BI80" s="5" t="s">
        <v>395</v>
      </c>
      <c r="BJ80" s="5" t="s">
        <v>395</v>
      </c>
      <c r="BK80" s="5" t="s">
        <v>395</v>
      </c>
      <c r="BL80" s="5" t="s">
        <v>395</v>
      </c>
      <c r="BM80" s="5" t="s">
        <v>395</v>
      </c>
      <c r="BN80" s="1">
        <v>64</v>
      </c>
      <c r="BO80" s="57" t="s">
        <v>395</v>
      </c>
      <c r="BP80" s="57" t="s">
        <v>395</v>
      </c>
      <c r="BQ80" s="57" t="s">
        <v>395</v>
      </c>
      <c r="BR80" s="57" t="s">
        <v>395</v>
      </c>
      <c r="BS80" s="57" t="s">
        <v>395</v>
      </c>
      <c r="BT80" s="57" t="s">
        <v>395</v>
      </c>
      <c r="BU80" s="57" t="s">
        <v>395</v>
      </c>
      <c r="BV80" s="57" t="s">
        <v>395</v>
      </c>
      <c r="BW80" s="57" t="s">
        <v>395</v>
      </c>
      <c r="BX80" s="57" t="s">
        <v>395</v>
      </c>
      <c r="BY80" s="57" t="s">
        <v>395</v>
      </c>
      <c r="BZ80" s="57" t="s">
        <v>395</v>
      </c>
      <c r="CA80" s="57" t="s">
        <v>395</v>
      </c>
      <c r="CB80" s="57" t="s">
        <v>395</v>
      </c>
      <c r="CC80" s="57" t="s">
        <v>395</v>
      </c>
      <c r="CD80" s="57" t="s">
        <v>395</v>
      </c>
      <c r="CE80" s="57" t="s">
        <v>395</v>
      </c>
      <c r="CF80" s="57" t="s">
        <v>395</v>
      </c>
      <c r="CG80" s="57" t="s">
        <v>395</v>
      </c>
      <c r="CH80" s="57" t="s">
        <v>395</v>
      </c>
      <c r="CI80" s="57" t="s">
        <v>395</v>
      </c>
      <c r="CJ80" s="57" t="s">
        <v>395</v>
      </c>
      <c r="CK80" s="57" t="s">
        <v>395</v>
      </c>
      <c r="CL80" s="57" t="s">
        <v>395</v>
      </c>
      <c r="CM80" s="57" t="s">
        <v>395</v>
      </c>
      <c r="CN80" s="57" t="s">
        <v>395</v>
      </c>
      <c r="CO80" s="57" t="s">
        <v>395</v>
      </c>
      <c r="CP80" s="57" t="s">
        <v>395</v>
      </c>
      <c r="CQ80" s="57" t="s">
        <v>395</v>
      </c>
      <c r="CR80" s="57" t="s">
        <v>395</v>
      </c>
      <c r="CS80" s="57" t="s">
        <v>395</v>
      </c>
      <c r="CT80" s="57" t="s">
        <v>395</v>
      </c>
      <c r="CU80" s="57" t="s">
        <v>395</v>
      </c>
      <c r="CV80" s="57" t="s">
        <v>395</v>
      </c>
      <c r="CW80" s="57" t="s">
        <v>395</v>
      </c>
      <c r="CX80" s="57" t="s">
        <v>395</v>
      </c>
      <c r="CY80" s="59" t="s">
        <v>395</v>
      </c>
      <c r="CZ80" s="64"/>
    </row>
    <row r="81" spans="1:104" x14ac:dyDescent="0.3">
      <c r="A81" s="93" t="s">
        <v>21</v>
      </c>
      <c r="B81" s="93" t="s">
        <v>21</v>
      </c>
      <c r="C81" s="14" t="s">
        <v>20</v>
      </c>
      <c r="G81" s="22">
        <v>44441</v>
      </c>
      <c r="H81" s="16">
        <v>2021</v>
      </c>
      <c r="I81" s="121" t="s">
        <v>33</v>
      </c>
      <c r="J81" s="121">
        <v>10</v>
      </c>
      <c r="K81" s="124">
        <v>0.69</v>
      </c>
      <c r="L81" s="5" t="s">
        <v>394</v>
      </c>
      <c r="M81" s="70">
        <f>0.5*0.038</f>
        <v>1.9E-2</v>
      </c>
      <c r="N81" s="70">
        <v>6.0800913155141252E-2</v>
      </c>
      <c r="O81" s="67">
        <v>0.79586226576619423</v>
      </c>
      <c r="P81" s="67">
        <v>0.78854751260344325</v>
      </c>
      <c r="Q81" s="68">
        <v>4.4577570626842959</v>
      </c>
      <c r="R81" s="68">
        <v>3.7758013887567774</v>
      </c>
      <c r="S81" s="68">
        <v>1.7199467326167603</v>
      </c>
      <c r="T81" s="69">
        <f t="shared" si="49"/>
        <v>11.617715875582613</v>
      </c>
      <c r="U81" s="5">
        <f t="shared" si="56"/>
        <v>78.472234514341807</v>
      </c>
      <c r="V81" s="72">
        <f>0.5*0.024</f>
        <v>1.2E-2</v>
      </c>
      <c r="W81" s="67">
        <v>0.13</v>
      </c>
      <c r="X81" s="70">
        <v>4.2000000000000003E-2</v>
      </c>
      <c r="Y81" s="70">
        <v>9.2999999999999999E-2</v>
      </c>
      <c r="Z81" s="73">
        <f>0.5*0.024</f>
        <v>1.2E-2</v>
      </c>
      <c r="AA81" s="70">
        <v>4.2999999999999997E-2</v>
      </c>
      <c r="AB81" s="70">
        <v>2.5000000000000001E-2</v>
      </c>
      <c r="AC81" s="70">
        <f>0.5*0.095</f>
        <v>4.7500000000000001E-2</v>
      </c>
      <c r="AD81" s="67">
        <v>0.33300000000000002</v>
      </c>
      <c r="AE81" s="5">
        <f t="shared" si="61"/>
        <v>0.34500000000000003</v>
      </c>
      <c r="AF81" s="74">
        <v>1.5409493008655951E-2</v>
      </c>
      <c r="AG81" s="250">
        <f t="shared" si="52"/>
        <v>0.11166299281634748</v>
      </c>
      <c r="AH81" s="84">
        <v>24.592638662346452</v>
      </c>
      <c r="AI81" s="85">
        <f>0.5*0.15</f>
        <v>7.4999999999999997E-2</v>
      </c>
      <c r="AJ81" s="85" t="s">
        <v>395</v>
      </c>
      <c r="AK81" s="85" t="s">
        <v>395</v>
      </c>
      <c r="AL81" s="85">
        <f t="shared" si="58"/>
        <v>0.05</v>
      </c>
      <c r="AM81" s="85">
        <f>0.5*0.1</f>
        <v>0.05</v>
      </c>
      <c r="AN81" s="86">
        <v>1.2511164105765862</v>
      </c>
      <c r="AO81" s="85">
        <v>0.70566506769182502</v>
      </c>
      <c r="AP81" s="16" t="s">
        <v>395</v>
      </c>
      <c r="AQ81" s="85">
        <v>0.50656524180661899</v>
      </c>
      <c r="AR81" s="85">
        <f t="shared" si="62"/>
        <v>0.1</v>
      </c>
      <c r="AS81" s="85">
        <v>0.76677713432375694</v>
      </c>
      <c r="AT81" s="85">
        <f>0.5*0.2</f>
        <v>0.1</v>
      </c>
      <c r="AU81" s="85">
        <f>0.5*0.15</f>
        <v>7.4999999999999997E-2</v>
      </c>
      <c r="AV81" s="85">
        <f t="shared" si="60"/>
        <v>7.4999999999999997E-2</v>
      </c>
      <c r="AW81" s="85">
        <v>0.17582793254065004</v>
      </c>
      <c r="AX81" s="85" t="s">
        <v>395</v>
      </c>
      <c r="AY81" s="85" t="s">
        <v>395</v>
      </c>
      <c r="AZ81" s="85" t="s">
        <v>395</v>
      </c>
      <c r="BA81" s="85" t="s">
        <v>395</v>
      </c>
      <c r="BB81" s="85" t="s">
        <v>395</v>
      </c>
      <c r="BC81" s="5" t="s">
        <v>395</v>
      </c>
      <c r="BD81" s="5" t="s">
        <v>395</v>
      </c>
      <c r="BE81" s="5" t="s">
        <v>395</v>
      </c>
      <c r="BF81" s="5" t="s">
        <v>395</v>
      </c>
      <c r="BG81" s="5" t="s">
        <v>395</v>
      </c>
      <c r="BH81" s="5" t="s">
        <v>395</v>
      </c>
      <c r="BI81" s="5" t="s">
        <v>395</v>
      </c>
      <c r="BJ81" s="5" t="s">
        <v>395</v>
      </c>
      <c r="BK81" s="5" t="s">
        <v>395</v>
      </c>
      <c r="BL81" s="5" t="s">
        <v>395</v>
      </c>
      <c r="BM81" s="5" t="s">
        <v>395</v>
      </c>
      <c r="BN81" s="1">
        <v>56</v>
      </c>
      <c r="BO81" s="57" t="s">
        <v>395</v>
      </c>
      <c r="BP81" s="57" t="s">
        <v>395</v>
      </c>
      <c r="BQ81" s="57" t="s">
        <v>395</v>
      </c>
      <c r="BR81" s="57" t="s">
        <v>395</v>
      </c>
      <c r="BS81" s="57" t="s">
        <v>395</v>
      </c>
      <c r="BT81" s="57" t="s">
        <v>395</v>
      </c>
      <c r="BU81" s="57" t="s">
        <v>395</v>
      </c>
      <c r="BV81" s="57" t="s">
        <v>395</v>
      </c>
      <c r="BW81" s="57" t="s">
        <v>395</v>
      </c>
      <c r="BX81" s="57" t="s">
        <v>395</v>
      </c>
      <c r="BY81" s="57" t="s">
        <v>395</v>
      </c>
      <c r="BZ81" s="57" t="s">
        <v>395</v>
      </c>
      <c r="CA81" s="57" t="s">
        <v>395</v>
      </c>
      <c r="CB81" s="57" t="s">
        <v>395</v>
      </c>
      <c r="CC81" s="57" t="s">
        <v>395</v>
      </c>
      <c r="CD81" s="57" t="s">
        <v>395</v>
      </c>
      <c r="CE81" s="57" t="s">
        <v>395</v>
      </c>
      <c r="CF81" s="57" t="s">
        <v>395</v>
      </c>
      <c r="CG81" s="57" t="s">
        <v>395</v>
      </c>
      <c r="CH81" s="57" t="s">
        <v>395</v>
      </c>
      <c r="CI81" s="57" t="s">
        <v>395</v>
      </c>
      <c r="CJ81" s="57" t="s">
        <v>395</v>
      </c>
      <c r="CK81" s="57" t="s">
        <v>395</v>
      </c>
      <c r="CL81" s="57" t="s">
        <v>395</v>
      </c>
      <c r="CM81" s="57" t="s">
        <v>395</v>
      </c>
      <c r="CN81" s="57" t="s">
        <v>395</v>
      </c>
      <c r="CO81" s="57" t="s">
        <v>395</v>
      </c>
      <c r="CP81" s="57" t="s">
        <v>395</v>
      </c>
      <c r="CQ81" s="57" t="s">
        <v>395</v>
      </c>
      <c r="CR81" s="57" t="s">
        <v>395</v>
      </c>
      <c r="CS81" s="57" t="s">
        <v>395</v>
      </c>
      <c r="CT81" s="57" t="s">
        <v>395</v>
      </c>
      <c r="CU81" s="57" t="s">
        <v>395</v>
      </c>
      <c r="CV81" s="57" t="s">
        <v>395</v>
      </c>
      <c r="CW81" s="57" t="s">
        <v>395</v>
      </c>
      <c r="CX81" s="57" t="s">
        <v>395</v>
      </c>
      <c r="CY81" s="59" t="s">
        <v>395</v>
      </c>
      <c r="CZ81" s="64"/>
    </row>
    <row r="82" spans="1:104" x14ac:dyDescent="0.3">
      <c r="A82" s="93" t="s">
        <v>22</v>
      </c>
      <c r="B82" s="93" t="s">
        <v>22</v>
      </c>
      <c r="C82" s="14" t="s">
        <v>20</v>
      </c>
      <c r="G82" s="22">
        <v>44483</v>
      </c>
      <c r="H82" s="16">
        <v>2021</v>
      </c>
      <c r="I82" s="121" t="s">
        <v>33</v>
      </c>
      <c r="J82" s="121">
        <v>10</v>
      </c>
      <c r="K82" s="124">
        <v>0.79</v>
      </c>
      <c r="L82" s="5" t="s">
        <v>394</v>
      </c>
      <c r="M82" s="85">
        <v>0.86932926228700869</v>
      </c>
      <c r="N82" s="86">
        <v>2.1528809218950062</v>
      </c>
      <c r="O82" s="86">
        <v>6.0998719590268884</v>
      </c>
      <c r="P82" s="86">
        <v>4.7044321875307791</v>
      </c>
      <c r="Q82" s="84">
        <v>12.175032010243278</v>
      </c>
      <c r="R82" s="84">
        <v>10.840441248891953</v>
      </c>
      <c r="S82" s="86">
        <v>3.9812764700088641</v>
      </c>
      <c r="T82" s="69">
        <f>SUM(M82:S82)</f>
        <v>40.823264059883783</v>
      </c>
      <c r="U82" s="5">
        <f t="shared" si="56"/>
        <v>228.60020172375314</v>
      </c>
      <c r="V82" s="72">
        <f>0.5*0.025</f>
        <v>1.2500000000000001E-2</v>
      </c>
      <c r="W82" s="67">
        <v>0.65</v>
      </c>
      <c r="X82" s="67">
        <v>0.19</v>
      </c>
      <c r="Y82" s="67">
        <v>0.75</v>
      </c>
      <c r="Z82" s="80">
        <f>0.5*0.025</f>
        <v>1.2500000000000001E-2</v>
      </c>
      <c r="AA82" s="70">
        <v>7.0000000000000007E-2</v>
      </c>
      <c r="AB82" s="70">
        <v>7.5999999999999998E-2</v>
      </c>
      <c r="AC82" s="85">
        <f>0.5*0.1</f>
        <v>0.05</v>
      </c>
      <c r="AD82" s="86">
        <v>1.7360000000000002</v>
      </c>
      <c r="AE82" s="5">
        <f t="shared" si="61"/>
        <v>1.7485000000000002</v>
      </c>
      <c r="AF82" s="81">
        <f>0.5*0.00492</f>
        <v>2.4599999999999999E-3</v>
      </c>
      <c r="AG82" s="250" t="s">
        <v>395</v>
      </c>
      <c r="AH82" s="84">
        <v>16.159588361583342</v>
      </c>
      <c r="AI82" s="85">
        <f>0.5*0.15</f>
        <v>7.4999999999999997E-2</v>
      </c>
      <c r="AJ82" s="85" t="s">
        <v>395</v>
      </c>
      <c r="AK82" s="85" t="s">
        <v>395</v>
      </c>
      <c r="AL82" s="85">
        <f t="shared" si="58"/>
        <v>0.05</v>
      </c>
      <c r="AM82" s="85">
        <f>0.5*0.1</f>
        <v>0.05</v>
      </c>
      <c r="AN82" s="85">
        <f>0.5*0.5</f>
        <v>0.25</v>
      </c>
      <c r="AO82" s="85">
        <f>0.5*0.15</f>
        <v>7.4999999999999997E-2</v>
      </c>
      <c r="AP82" s="16" t="s">
        <v>395</v>
      </c>
      <c r="AQ82" s="85">
        <v>0.40502219361521219</v>
      </c>
      <c r="AR82" s="85">
        <f t="shared" si="62"/>
        <v>0.1</v>
      </c>
      <c r="AS82" s="86">
        <v>2.2059365109833307</v>
      </c>
      <c r="AT82" s="85">
        <v>0.37097384730440375</v>
      </c>
      <c r="AU82" s="85">
        <v>0.32656687711596838</v>
      </c>
      <c r="AV82" s="85">
        <f t="shared" si="60"/>
        <v>7.4999999999999997E-2</v>
      </c>
      <c r="AW82" s="84">
        <f>0.5*0.112</f>
        <v>5.6000000000000001E-2</v>
      </c>
      <c r="AX82" s="84" t="s">
        <v>395</v>
      </c>
      <c r="AY82" s="84" t="s">
        <v>395</v>
      </c>
      <c r="AZ82" s="84" t="s">
        <v>395</v>
      </c>
      <c r="BA82" s="84" t="s">
        <v>395</v>
      </c>
      <c r="BB82" s="84" t="s">
        <v>395</v>
      </c>
      <c r="BC82" s="5" t="s">
        <v>395</v>
      </c>
      <c r="BD82" s="5" t="s">
        <v>395</v>
      </c>
      <c r="BE82" s="5" t="s">
        <v>395</v>
      </c>
      <c r="BF82" s="5" t="s">
        <v>395</v>
      </c>
      <c r="BG82" s="5" t="s">
        <v>395</v>
      </c>
      <c r="BH82" s="5" t="s">
        <v>395</v>
      </c>
      <c r="BI82" s="5" t="s">
        <v>395</v>
      </c>
      <c r="BJ82" s="5" t="s">
        <v>395</v>
      </c>
      <c r="BK82" s="5" t="s">
        <v>395</v>
      </c>
      <c r="BL82" s="5" t="s">
        <v>395</v>
      </c>
      <c r="BM82" s="5" t="s">
        <v>395</v>
      </c>
      <c r="BN82" s="75">
        <v>75</v>
      </c>
      <c r="BO82" s="57" t="s">
        <v>395</v>
      </c>
      <c r="BP82" s="57" t="s">
        <v>395</v>
      </c>
      <c r="BQ82" s="57" t="s">
        <v>395</v>
      </c>
      <c r="BR82" s="57" t="s">
        <v>395</v>
      </c>
      <c r="BS82" s="57" t="s">
        <v>395</v>
      </c>
      <c r="BT82" s="57" t="s">
        <v>395</v>
      </c>
      <c r="BU82" s="57" t="s">
        <v>395</v>
      </c>
      <c r="BV82" s="57" t="s">
        <v>395</v>
      </c>
      <c r="BW82" s="57" t="s">
        <v>395</v>
      </c>
      <c r="BX82" s="57" t="s">
        <v>395</v>
      </c>
      <c r="BY82" s="57" t="s">
        <v>395</v>
      </c>
      <c r="BZ82" s="57" t="s">
        <v>395</v>
      </c>
      <c r="CA82" s="57" t="s">
        <v>395</v>
      </c>
      <c r="CB82" s="57" t="s">
        <v>395</v>
      </c>
      <c r="CC82" s="57" t="s">
        <v>395</v>
      </c>
      <c r="CD82" s="57" t="s">
        <v>395</v>
      </c>
      <c r="CE82" s="57" t="s">
        <v>395</v>
      </c>
      <c r="CF82" s="57" t="s">
        <v>395</v>
      </c>
      <c r="CG82" s="57" t="s">
        <v>395</v>
      </c>
      <c r="CH82" s="57" t="s">
        <v>395</v>
      </c>
      <c r="CI82" s="57" t="s">
        <v>395</v>
      </c>
      <c r="CJ82" s="57" t="s">
        <v>395</v>
      </c>
      <c r="CK82" s="57" t="s">
        <v>395</v>
      </c>
      <c r="CL82" s="57" t="s">
        <v>395</v>
      </c>
      <c r="CM82" s="57" t="s">
        <v>395</v>
      </c>
      <c r="CN82" s="57" t="s">
        <v>395</v>
      </c>
      <c r="CO82" s="57" t="s">
        <v>395</v>
      </c>
      <c r="CP82" s="57" t="s">
        <v>395</v>
      </c>
      <c r="CQ82" s="57" t="s">
        <v>395</v>
      </c>
      <c r="CR82" s="57" t="s">
        <v>395</v>
      </c>
      <c r="CS82" s="57" t="s">
        <v>395</v>
      </c>
      <c r="CT82" s="57" t="s">
        <v>395</v>
      </c>
      <c r="CU82" s="57" t="s">
        <v>395</v>
      </c>
      <c r="CV82" s="57" t="s">
        <v>395</v>
      </c>
      <c r="CW82" s="57" t="s">
        <v>395</v>
      </c>
      <c r="CX82" s="57" t="s">
        <v>395</v>
      </c>
      <c r="CY82" s="59" t="s">
        <v>395</v>
      </c>
      <c r="CZ82" s="64"/>
    </row>
    <row r="83" spans="1:104" x14ac:dyDescent="0.3">
      <c r="A83" s="62" t="s">
        <v>21</v>
      </c>
      <c r="B83" s="62" t="s">
        <v>21</v>
      </c>
      <c r="C83" s="14" t="s">
        <v>20</v>
      </c>
      <c r="G83" s="65">
        <v>44097</v>
      </c>
      <c r="H83" s="16">
        <v>2020</v>
      </c>
      <c r="I83" s="121" t="s">
        <v>33</v>
      </c>
      <c r="J83" s="121">
        <v>10</v>
      </c>
      <c r="K83" s="125">
        <v>0.60671298561505971</v>
      </c>
      <c r="L83" s="5" t="s">
        <v>394</v>
      </c>
      <c r="M83" s="5">
        <v>1.7459385398316696E-2</v>
      </c>
      <c r="N83" s="5">
        <v>7.0229007633587789E-2</v>
      </c>
      <c r="O83" s="5">
        <v>0.81794871794871793</v>
      </c>
      <c r="P83" s="5">
        <v>0.72689371697005278</v>
      </c>
      <c r="Q83" s="5">
        <v>3.6975631238990019</v>
      </c>
      <c r="R83" s="5">
        <v>3.1140144842434916</v>
      </c>
      <c r="S83" s="5">
        <v>1.5226560970835781</v>
      </c>
      <c r="T83" s="5">
        <v>9.9667645331767467</v>
      </c>
      <c r="U83" s="5">
        <f t="shared" si="56"/>
        <v>76.146967637751374</v>
      </c>
      <c r="V83" s="5">
        <f>0.5*0.024</f>
        <v>1.2E-2</v>
      </c>
      <c r="W83" s="5">
        <v>0.11257878679695517</v>
      </c>
      <c r="X83" s="5">
        <v>3.6787205148025991E-2</v>
      </c>
      <c r="Y83" s="5">
        <v>6.0628168373504557E-2</v>
      </c>
      <c r="Z83" s="5">
        <v>7.0000000000000001E-3</v>
      </c>
      <c r="AA83" s="5">
        <v>2.5765060204124886E-2</v>
      </c>
      <c r="AB83" s="5">
        <v>2.8096912833875061E-2</v>
      </c>
      <c r="AC83" s="5">
        <v>0.36530093660514545</v>
      </c>
      <c r="AD83" s="5">
        <v>0.63615706996163113</v>
      </c>
      <c r="AE83" s="5">
        <f>SUM(V83,W83,Y83,X83,AB83,AA83)</f>
        <v>0.27585613335648568</v>
      </c>
      <c r="AF83" s="66">
        <v>1.1548248189469562E-2</v>
      </c>
      <c r="AG83" s="250">
        <f t="shared" ref="AG83:AG97" si="63">AF83*(5/K83)</f>
        <v>9.5170603425954722E-2</v>
      </c>
      <c r="AH83" s="86">
        <v>16.567728819998116</v>
      </c>
      <c r="AI83" s="85">
        <f t="shared" ref="AI83:AI98" si="64">0.5*0.2</f>
        <v>0.1</v>
      </c>
      <c r="AJ83" s="85" t="s">
        <v>395</v>
      </c>
      <c r="AK83" s="85" t="s">
        <v>395</v>
      </c>
      <c r="AL83" s="85">
        <f t="shared" ref="AL83:AL98" si="65">0.5*0.2</f>
        <v>0.1</v>
      </c>
      <c r="AM83" s="85">
        <f t="shared" ref="AM83:AM98" si="66">0.5*0.3</f>
        <v>0.15</v>
      </c>
      <c r="AN83" s="85">
        <v>0.64326484101515002</v>
      </c>
      <c r="AO83" s="87">
        <v>0.39806280583162135</v>
      </c>
      <c r="AP83" s="16" t="s">
        <v>395</v>
      </c>
      <c r="AQ83" s="87">
        <v>0.40883376517992498</v>
      </c>
      <c r="AR83" s="87">
        <f t="shared" ref="AR83:AR91" si="67">0.5*0.1</f>
        <v>0.05</v>
      </c>
      <c r="AS83" s="87">
        <f t="shared" ref="AS83:AU84" si="68">0.5*0.51</f>
        <v>0.255</v>
      </c>
      <c r="AT83" s="87">
        <f t="shared" si="68"/>
        <v>0.255</v>
      </c>
      <c r="AU83" s="87">
        <f t="shared" si="68"/>
        <v>0.255</v>
      </c>
      <c r="AV83" s="87">
        <f>0.5*0.1</f>
        <v>0.05</v>
      </c>
      <c r="AW83" s="85">
        <f t="shared" ref="AW83:AW98" si="69">0.5*0.3</f>
        <v>0.15</v>
      </c>
      <c r="AX83" s="85" t="s">
        <v>395</v>
      </c>
      <c r="AY83" s="85" t="s">
        <v>395</v>
      </c>
      <c r="AZ83" s="85" t="s">
        <v>395</v>
      </c>
      <c r="BA83" s="85" t="s">
        <v>395</v>
      </c>
      <c r="BB83" s="85" t="s">
        <v>395</v>
      </c>
      <c r="BC83" s="5" t="s">
        <v>395</v>
      </c>
      <c r="BD83" s="5" t="s">
        <v>395</v>
      </c>
      <c r="BE83" s="5" t="s">
        <v>395</v>
      </c>
      <c r="BF83" s="5" t="s">
        <v>395</v>
      </c>
      <c r="BG83" s="5" t="s">
        <v>395</v>
      </c>
      <c r="BH83" s="5" t="s">
        <v>395</v>
      </c>
      <c r="BI83" s="5" t="s">
        <v>395</v>
      </c>
      <c r="BJ83" s="5" t="s">
        <v>395</v>
      </c>
      <c r="BK83" s="5" t="s">
        <v>395</v>
      </c>
      <c r="BL83" s="5" t="s">
        <v>395</v>
      </c>
      <c r="BM83" s="5" t="s">
        <v>395</v>
      </c>
      <c r="BN83" s="5">
        <v>71</v>
      </c>
      <c r="BO83" s="57" t="s">
        <v>395</v>
      </c>
      <c r="BP83" s="57" t="s">
        <v>395</v>
      </c>
      <c r="BQ83" s="57" t="s">
        <v>395</v>
      </c>
      <c r="BR83" s="57" t="s">
        <v>395</v>
      </c>
      <c r="BS83" s="57" t="s">
        <v>395</v>
      </c>
      <c r="BT83" s="57" t="s">
        <v>395</v>
      </c>
      <c r="BU83" s="57" t="s">
        <v>395</v>
      </c>
      <c r="BV83" s="57" t="s">
        <v>395</v>
      </c>
      <c r="BW83" s="57" t="s">
        <v>395</v>
      </c>
      <c r="BX83" s="57" t="s">
        <v>395</v>
      </c>
      <c r="BY83" s="57" t="s">
        <v>395</v>
      </c>
      <c r="BZ83" s="57" t="s">
        <v>395</v>
      </c>
      <c r="CA83" s="57" t="s">
        <v>395</v>
      </c>
      <c r="CB83" s="57" t="s">
        <v>395</v>
      </c>
      <c r="CC83" s="57" t="s">
        <v>395</v>
      </c>
      <c r="CD83" s="57" t="s">
        <v>395</v>
      </c>
      <c r="CE83" s="57" t="s">
        <v>395</v>
      </c>
      <c r="CF83" s="57" t="s">
        <v>395</v>
      </c>
      <c r="CG83" s="57" t="s">
        <v>395</v>
      </c>
      <c r="CH83" s="57" t="s">
        <v>395</v>
      </c>
      <c r="CI83" s="57" t="s">
        <v>395</v>
      </c>
      <c r="CJ83" s="57" t="s">
        <v>395</v>
      </c>
      <c r="CK83" s="57" t="s">
        <v>395</v>
      </c>
      <c r="CL83" s="57" t="s">
        <v>395</v>
      </c>
      <c r="CM83" s="57" t="s">
        <v>395</v>
      </c>
      <c r="CN83" s="57" t="s">
        <v>395</v>
      </c>
      <c r="CO83" s="57" t="s">
        <v>395</v>
      </c>
      <c r="CP83" s="57" t="s">
        <v>395</v>
      </c>
      <c r="CQ83" s="57" t="s">
        <v>395</v>
      </c>
      <c r="CR83" s="57" t="s">
        <v>395</v>
      </c>
      <c r="CS83" s="57" t="s">
        <v>395</v>
      </c>
      <c r="CT83" s="57" t="s">
        <v>395</v>
      </c>
      <c r="CU83" s="57" t="s">
        <v>395</v>
      </c>
      <c r="CV83" s="57" t="s">
        <v>395</v>
      </c>
      <c r="CW83" s="57" t="s">
        <v>395</v>
      </c>
      <c r="CX83" s="57" t="s">
        <v>395</v>
      </c>
      <c r="CY83" s="59" t="s">
        <v>395</v>
      </c>
    </row>
    <row r="84" spans="1:104" x14ac:dyDescent="0.3">
      <c r="A84" s="62" t="s">
        <v>30</v>
      </c>
      <c r="B84" s="62" t="s">
        <v>30</v>
      </c>
      <c r="C84" s="14" t="s">
        <v>20</v>
      </c>
      <c r="G84" s="65">
        <v>44077</v>
      </c>
      <c r="H84" s="16">
        <v>2020</v>
      </c>
      <c r="I84" s="121" t="s">
        <v>33</v>
      </c>
      <c r="J84" s="121">
        <v>10</v>
      </c>
      <c r="K84" s="125">
        <v>0.43851798818687371</v>
      </c>
      <c r="L84" s="5" t="s">
        <v>394</v>
      </c>
      <c r="M84" s="5">
        <v>5.4271682727946635E-2</v>
      </c>
      <c r="N84" s="5">
        <v>0.30381764269829503</v>
      </c>
      <c r="O84" s="5">
        <v>2.104966641957005</v>
      </c>
      <c r="P84" s="5">
        <v>2.66890752409192</v>
      </c>
      <c r="Q84" s="5">
        <v>5.4643346923647149</v>
      </c>
      <c r="R84" s="5">
        <v>4.5874722016308382</v>
      </c>
      <c r="S84" s="5">
        <v>1.6819171608598964</v>
      </c>
      <c r="T84" s="5">
        <v>16.865687546330616</v>
      </c>
      <c r="U84" s="5">
        <f t="shared" si="56"/>
        <v>161.8722652739705</v>
      </c>
      <c r="V84" s="5">
        <f>0.5*0.024</f>
        <v>1.2E-2</v>
      </c>
      <c r="W84" s="5">
        <v>4.1707016419202839E-2</v>
      </c>
      <c r="X84" s="5">
        <v>1.5733358416001847E-2</v>
      </c>
      <c r="Y84" s="5">
        <v>2.5052444865203624E-2</v>
      </c>
      <c r="Z84" s="5">
        <v>8.0000000000000002E-3</v>
      </c>
      <c r="AA84" s="5">
        <v>1.409222441209124E-2</v>
      </c>
      <c r="AB84" s="5">
        <v>1.7498859264261788E-2</v>
      </c>
      <c r="AC84" s="5">
        <v>0.34257739051548147</v>
      </c>
      <c r="AD84" s="5">
        <v>0.46466129389224281</v>
      </c>
      <c r="AE84" s="5">
        <f t="shared" ref="AE84:AE97" si="70">SUM(V84,W84,Y84,X84,AB84,AA84)</f>
        <v>0.12608390337676134</v>
      </c>
      <c r="AF84" s="66">
        <v>8.0615270570793176E-3</v>
      </c>
      <c r="AG84" s="250">
        <f t="shared" si="63"/>
        <v>9.1917860546736702E-2</v>
      </c>
      <c r="AH84" s="88">
        <v>1.0783181778163478</v>
      </c>
      <c r="AI84" s="85">
        <f t="shared" si="64"/>
        <v>0.1</v>
      </c>
      <c r="AJ84" s="85" t="s">
        <v>395</v>
      </c>
      <c r="AK84" s="85" t="s">
        <v>395</v>
      </c>
      <c r="AL84" s="85">
        <f t="shared" si="65"/>
        <v>0.1</v>
      </c>
      <c r="AM84" s="85">
        <f t="shared" si="66"/>
        <v>0.15</v>
      </c>
      <c r="AN84" s="85">
        <f>0.5*0.2</f>
        <v>0.1</v>
      </c>
      <c r="AO84" s="87">
        <f>0.5*0.3</f>
        <v>0.15</v>
      </c>
      <c r="AP84" s="16" t="s">
        <v>395</v>
      </c>
      <c r="AQ84" s="87">
        <f>0.5*0.2</f>
        <v>0.1</v>
      </c>
      <c r="AR84" s="87">
        <f t="shared" si="67"/>
        <v>0.05</v>
      </c>
      <c r="AS84" s="87">
        <f t="shared" si="68"/>
        <v>0.255</v>
      </c>
      <c r="AT84" s="87">
        <f t="shared" si="68"/>
        <v>0.255</v>
      </c>
      <c r="AU84" s="87">
        <f t="shared" si="68"/>
        <v>0.255</v>
      </c>
      <c r="AV84" s="87">
        <f>0.5*0.1</f>
        <v>0.05</v>
      </c>
      <c r="AW84" s="85">
        <f t="shared" si="69"/>
        <v>0.15</v>
      </c>
      <c r="AX84" s="85" t="s">
        <v>395</v>
      </c>
      <c r="AY84" s="85" t="s">
        <v>395</v>
      </c>
      <c r="AZ84" s="85" t="s">
        <v>395</v>
      </c>
      <c r="BA84" s="85" t="s">
        <v>395</v>
      </c>
      <c r="BB84" s="85" t="s">
        <v>395</v>
      </c>
      <c r="BC84" s="5" t="s">
        <v>395</v>
      </c>
      <c r="BD84" s="5" t="s">
        <v>395</v>
      </c>
      <c r="BE84" s="5" t="s">
        <v>395</v>
      </c>
      <c r="BF84" s="5" t="s">
        <v>395</v>
      </c>
      <c r="BG84" s="5" t="s">
        <v>395</v>
      </c>
      <c r="BH84" s="5" t="s">
        <v>395</v>
      </c>
      <c r="BI84" s="5" t="s">
        <v>395</v>
      </c>
      <c r="BJ84" s="5" t="s">
        <v>395</v>
      </c>
      <c r="BK84" s="5" t="s">
        <v>395</v>
      </c>
      <c r="BL84" s="5" t="s">
        <v>395</v>
      </c>
      <c r="BM84" s="5" t="s">
        <v>395</v>
      </c>
      <c r="BN84" s="5">
        <v>73</v>
      </c>
      <c r="BO84" s="57" t="s">
        <v>395</v>
      </c>
      <c r="BP84" s="57" t="s">
        <v>395</v>
      </c>
      <c r="BQ84" s="57" t="s">
        <v>395</v>
      </c>
      <c r="BR84" s="57" t="s">
        <v>395</v>
      </c>
      <c r="BS84" s="57" t="s">
        <v>395</v>
      </c>
      <c r="BT84" s="57" t="s">
        <v>395</v>
      </c>
      <c r="BU84" s="57" t="s">
        <v>395</v>
      </c>
      <c r="BV84" s="57" t="s">
        <v>395</v>
      </c>
      <c r="BW84" s="57" t="s">
        <v>395</v>
      </c>
      <c r="BX84" s="57" t="s">
        <v>395</v>
      </c>
      <c r="BY84" s="57" t="s">
        <v>395</v>
      </c>
      <c r="BZ84" s="57" t="s">
        <v>395</v>
      </c>
      <c r="CA84" s="57" t="s">
        <v>395</v>
      </c>
      <c r="CB84" s="57" t="s">
        <v>395</v>
      </c>
      <c r="CC84" s="57" t="s">
        <v>395</v>
      </c>
      <c r="CD84" s="57" t="s">
        <v>395</v>
      </c>
      <c r="CE84" s="57" t="s">
        <v>395</v>
      </c>
      <c r="CF84" s="57" t="s">
        <v>395</v>
      </c>
      <c r="CG84" s="57" t="s">
        <v>395</v>
      </c>
      <c r="CH84" s="57" t="s">
        <v>395</v>
      </c>
      <c r="CI84" s="57" t="s">
        <v>395</v>
      </c>
      <c r="CJ84" s="57" t="s">
        <v>395</v>
      </c>
      <c r="CK84" s="57" t="s">
        <v>395</v>
      </c>
      <c r="CL84" s="57" t="s">
        <v>395</v>
      </c>
      <c r="CM84" s="57" t="s">
        <v>395</v>
      </c>
      <c r="CN84" s="57" t="s">
        <v>395</v>
      </c>
      <c r="CO84" s="57" t="s">
        <v>395</v>
      </c>
      <c r="CP84" s="57" t="s">
        <v>395</v>
      </c>
      <c r="CQ84" s="57" t="s">
        <v>395</v>
      </c>
      <c r="CR84" s="57" t="s">
        <v>395</v>
      </c>
      <c r="CS84" s="57" t="s">
        <v>395</v>
      </c>
      <c r="CT84" s="57" t="s">
        <v>395</v>
      </c>
      <c r="CU84" s="57" t="s">
        <v>395</v>
      </c>
      <c r="CV84" s="57" t="s">
        <v>395</v>
      </c>
      <c r="CW84" s="57" t="s">
        <v>395</v>
      </c>
      <c r="CX84" s="57" t="s">
        <v>395</v>
      </c>
      <c r="CY84" s="59" t="s">
        <v>395</v>
      </c>
    </row>
    <row r="85" spans="1:104" x14ac:dyDescent="0.3">
      <c r="A85" s="62" t="s">
        <v>7</v>
      </c>
      <c r="B85" s="62" t="s">
        <v>7</v>
      </c>
      <c r="C85" s="14" t="s">
        <v>20</v>
      </c>
      <c r="G85" s="65">
        <v>44076</v>
      </c>
      <c r="H85" s="16">
        <v>2020</v>
      </c>
      <c r="I85" s="121" t="s">
        <v>33</v>
      </c>
      <c r="J85" s="121">
        <v>10</v>
      </c>
      <c r="K85" s="125">
        <v>0.52770448548813109</v>
      </c>
      <c r="L85" s="5" t="s">
        <v>394</v>
      </c>
      <c r="M85" s="5">
        <v>4.2523582702904635E-2</v>
      </c>
      <c r="N85" s="5">
        <v>0.23705986737648263</v>
      </c>
      <c r="O85" s="5">
        <v>1.3099280844307462</v>
      </c>
      <c r="P85" s="5">
        <v>1.4793125992341458</v>
      </c>
      <c r="Q85" s="5">
        <v>3.7289343420192393</v>
      </c>
      <c r="R85" s="5">
        <v>3.2616045577659469</v>
      </c>
      <c r="S85" s="5">
        <v>1.3299990660315679</v>
      </c>
      <c r="T85" s="5">
        <v>11.389362099561033</v>
      </c>
      <c r="U85" s="5">
        <f t="shared" si="56"/>
        <v>93.897719015596465</v>
      </c>
      <c r="V85" s="5">
        <v>1.1459018423260735E-2</v>
      </c>
      <c r="W85" s="5">
        <v>0.2540326066550147</v>
      </c>
      <c r="X85" s="5">
        <v>9.1683392742732864E-2</v>
      </c>
      <c r="Y85" s="5">
        <v>0.23208167048013253</v>
      </c>
      <c r="Z85" s="5">
        <v>8.0000000000000002E-3</v>
      </c>
      <c r="AA85" s="5">
        <v>4.1146759971257142E-2</v>
      </c>
      <c r="AB85" s="5">
        <v>4.4880218378050632E-2</v>
      </c>
      <c r="AC85" s="5">
        <v>0.35680039844952444</v>
      </c>
      <c r="AD85" s="5">
        <v>1.0400840650999732</v>
      </c>
      <c r="AE85" s="5">
        <f t="shared" si="70"/>
        <v>0.6752836666504487</v>
      </c>
      <c r="AF85" s="66">
        <v>0.15840104604464367</v>
      </c>
      <c r="AG85" s="250">
        <f t="shared" si="63"/>
        <v>1.5008499112729861</v>
      </c>
      <c r="AH85" s="88">
        <v>12.137726807731655</v>
      </c>
      <c r="AI85" s="85">
        <f t="shared" si="64"/>
        <v>0.1</v>
      </c>
      <c r="AJ85" s="85" t="s">
        <v>395</v>
      </c>
      <c r="AK85" s="85" t="s">
        <v>395</v>
      </c>
      <c r="AL85" s="85">
        <f t="shared" si="65"/>
        <v>0.1</v>
      </c>
      <c r="AM85" s="85">
        <f t="shared" si="66"/>
        <v>0.15</v>
      </c>
      <c r="AN85" s="86">
        <v>3.3358773488397135</v>
      </c>
      <c r="AO85" s="87">
        <v>0.68203171270123297</v>
      </c>
      <c r="AP85" s="16" t="s">
        <v>395</v>
      </c>
      <c r="AQ85" s="87">
        <v>0.97818069240295047</v>
      </c>
      <c r="AR85" s="87">
        <f t="shared" si="67"/>
        <v>0.05</v>
      </c>
      <c r="AS85" s="87">
        <v>0.77935713131965745</v>
      </c>
      <c r="AT85" s="87">
        <f t="shared" ref="AT85:AU91" si="71">0.5*0.51</f>
        <v>0.255</v>
      </c>
      <c r="AU85" s="87">
        <f t="shared" si="71"/>
        <v>0.255</v>
      </c>
      <c r="AV85" s="87">
        <v>0.22723846443762449</v>
      </c>
      <c r="AW85" s="85">
        <f t="shared" si="69"/>
        <v>0.15</v>
      </c>
      <c r="AX85" s="85" t="s">
        <v>395</v>
      </c>
      <c r="AY85" s="85" t="s">
        <v>395</v>
      </c>
      <c r="AZ85" s="85" t="s">
        <v>395</v>
      </c>
      <c r="BA85" s="85" t="s">
        <v>395</v>
      </c>
      <c r="BB85" s="85" t="s">
        <v>395</v>
      </c>
      <c r="BC85" s="5" t="s">
        <v>395</v>
      </c>
      <c r="BD85" s="5" t="s">
        <v>395</v>
      </c>
      <c r="BE85" s="5" t="s">
        <v>395</v>
      </c>
      <c r="BF85" s="5" t="s">
        <v>395</v>
      </c>
      <c r="BG85" s="5" t="s">
        <v>395</v>
      </c>
      <c r="BH85" s="5" t="s">
        <v>395</v>
      </c>
      <c r="BI85" s="5" t="s">
        <v>395</v>
      </c>
      <c r="BJ85" s="5" t="s">
        <v>395</v>
      </c>
      <c r="BK85" s="5" t="s">
        <v>395</v>
      </c>
      <c r="BL85" s="5" t="s">
        <v>395</v>
      </c>
      <c r="BM85" s="5" t="s">
        <v>395</v>
      </c>
      <c r="BN85" s="5">
        <v>150</v>
      </c>
      <c r="BO85" s="57" t="s">
        <v>395</v>
      </c>
      <c r="BP85" s="57" t="s">
        <v>395</v>
      </c>
      <c r="BQ85" s="57" t="s">
        <v>395</v>
      </c>
      <c r="BR85" s="57" t="s">
        <v>395</v>
      </c>
      <c r="BS85" s="57" t="s">
        <v>395</v>
      </c>
      <c r="BT85" s="57" t="s">
        <v>395</v>
      </c>
      <c r="BU85" s="57" t="s">
        <v>395</v>
      </c>
      <c r="BV85" s="57" t="s">
        <v>395</v>
      </c>
      <c r="BW85" s="57" t="s">
        <v>395</v>
      </c>
      <c r="BX85" s="57" t="s">
        <v>395</v>
      </c>
      <c r="BY85" s="57" t="s">
        <v>395</v>
      </c>
      <c r="BZ85" s="57" t="s">
        <v>395</v>
      </c>
      <c r="CA85" s="57" t="s">
        <v>395</v>
      </c>
      <c r="CB85" s="57" t="s">
        <v>395</v>
      </c>
      <c r="CC85" s="57" t="s">
        <v>395</v>
      </c>
      <c r="CD85" s="57" t="s">
        <v>395</v>
      </c>
      <c r="CE85" s="57" t="s">
        <v>395</v>
      </c>
      <c r="CF85" s="57" t="s">
        <v>395</v>
      </c>
      <c r="CG85" s="57" t="s">
        <v>395</v>
      </c>
      <c r="CH85" s="57" t="s">
        <v>395</v>
      </c>
      <c r="CI85" s="57" t="s">
        <v>395</v>
      </c>
      <c r="CJ85" s="57" t="s">
        <v>395</v>
      </c>
      <c r="CK85" s="57" t="s">
        <v>395</v>
      </c>
      <c r="CL85" s="57" t="s">
        <v>395</v>
      </c>
      <c r="CM85" s="57" t="s">
        <v>395</v>
      </c>
      <c r="CN85" s="57" t="s">
        <v>395</v>
      </c>
      <c r="CO85" s="57" t="s">
        <v>395</v>
      </c>
      <c r="CP85" s="57" t="s">
        <v>395</v>
      </c>
      <c r="CQ85" s="57" t="s">
        <v>395</v>
      </c>
      <c r="CR85" s="57" t="s">
        <v>395</v>
      </c>
      <c r="CS85" s="57" t="s">
        <v>395</v>
      </c>
      <c r="CT85" s="57" t="s">
        <v>395</v>
      </c>
      <c r="CU85" s="57" t="s">
        <v>395</v>
      </c>
      <c r="CV85" s="57" t="s">
        <v>395</v>
      </c>
      <c r="CW85" s="57" t="s">
        <v>395</v>
      </c>
      <c r="CX85" s="57" t="s">
        <v>395</v>
      </c>
      <c r="CY85" s="59" t="s">
        <v>395</v>
      </c>
    </row>
    <row r="86" spans="1:104" x14ac:dyDescent="0.3">
      <c r="A86" s="62" t="s">
        <v>5</v>
      </c>
      <c r="B86" s="62" t="s">
        <v>5</v>
      </c>
      <c r="C86" s="14" t="s">
        <v>20</v>
      </c>
      <c r="G86" s="65">
        <v>44067</v>
      </c>
      <c r="H86" s="16">
        <v>2020</v>
      </c>
      <c r="I86" s="121" t="s">
        <v>33</v>
      </c>
      <c r="J86" s="121">
        <v>10</v>
      </c>
      <c r="K86" s="125">
        <v>0.54378398649917126</v>
      </c>
      <c r="L86" s="5" t="s">
        <v>394</v>
      </c>
      <c r="M86" s="5">
        <v>0.82592342559552512</v>
      </c>
      <c r="N86" s="5">
        <v>2.4838267913974348</v>
      </c>
      <c r="O86" s="5">
        <v>9.7939531295206876</v>
      </c>
      <c r="P86" s="5">
        <v>8.814215449898736</v>
      </c>
      <c r="Q86" s="5">
        <v>15.305670749349021</v>
      </c>
      <c r="R86" s="5">
        <v>14.554055357315073</v>
      </c>
      <c r="S86" s="5">
        <v>3.7771626964991802</v>
      </c>
      <c r="T86" s="5">
        <v>55.554807599575661</v>
      </c>
      <c r="U86" s="5">
        <f t="shared" si="56"/>
        <v>429.77168609348297</v>
      </c>
      <c r="V86" s="5">
        <v>2.0900971351692679E-2</v>
      </c>
      <c r="W86" s="5">
        <v>0.33061536501768424</v>
      </c>
      <c r="X86" s="5">
        <v>9.9862724852371604E-2</v>
      </c>
      <c r="Y86" s="5">
        <v>0.17976883361826038</v>
      </c>
      <c r="Z86" s="5">
        <v>1.3732973555521536E-2</v>
      </c>
      <c r="AA86" s="5">
        <v>5.4135450022511578E-2</v>
      </c>
      <c r="AB86" s="5">
        <v>6.4534735714099553E-2</v>
      </c>
      <c r="AC86" s="5">
        <v>0.95651074359259103</v>
      </c>
      <c r="AD86" s="5">
        <v>1.7200617977247326</v>
      </c>
      <c r="AE86" s="5">
        <f t="shared" si="70"/>
        <v>0.74981808057661992</v>
      </c>
      <c r="AF86" s="66">
        <v>3.8865850130195778E-2</v>
      </c>
      <c r="AG86" s="250">
        <f t="shared" si="63"/>
        <v>0.35736479093849716</v>
      </c>
      <c r="AH86" s="88">
        <v>9.4605074687947628</v>
      </c>
      <c r="AI86" s="85">
        <f t="shared" si="64"/>
        <v>0.1</v>
      </c>
      <c r="AJ86" s="85" t="s">
        <v>395</v>
      </c>
      <c r="AK86" s="85" t="s">
        <v>395</v>
      </c>
      <c r="AL86" s="85">
        <f t="shared" si="65"/>
        <v>0.1</v>
      </c>
      <c r="AM86" s="85">
        <f t="shared" si="66"/>
        <v>0.15</v>
      </c>
      <c r="AN86" s="85">
        <v>0.54134694086351554</v>
      </c>
      <c r="AO86" s="87">
        <f>0.5*0.3</f>
        <v>0.15</v>
      </c>
      <c r="AP86" s="16" t="s">
        <v>395</v>
      </c>
      <c r="AQ86" s="87">
        <v>0.47282330673214651</v>
      </c>
      <c r="AR86" s="87">
        <f t="shared" si="67"/>
        <v>0.05</v>
      </c>
      <c r="AS86" s="87">
        <v>0.82489257213014122</v>
      </c>
      <c r="AT86" s="87">
        <f t="shared" si="71"/>
        <v>0.255</v>
      </c>
      <c r="AU86" s="87">
        <f t="shared" si="71"/>
        <v>0.255</v>
      </c>
      <c r="AV86" s="87">
        <f>0.5*0.1</f>
        <v>0.05</v>
      </c>
      <c r="AW86" s="85">
        <f t="shared" si="69"/>
        <v>0.15</v>
      </c>
      <c r="AX86" s="85" t="s">
        <v>395</v>
      </c>
      <c r="AY86" s="85" t="s">
        <v>395</v>
      </c>
      <c r="AZ86" s="85" t="s">
        <v>395</v>
      </c>
      <c r="BA86" s="85" t="s">
        <v>395</v>
      </c>
      <c r="BB86" s="85" t="s">
        <v>395</v>
      </c>
      <c r="BC86" s="5" t="s">
        <v>395</v>
      </c>
      <c r="BD86" s="5" t="s">
        <v>395</v>
      </c>
      <c r="BE86" s="5" t="s">
        <v>395</v>
      </c>
      <c r="BF86" s="5" t="s">
        <v>395</v>
      </c>
      <c r="BG86" s="5" t="s">
        <v>395</v>
      </c>
      <c r="BH86" s="5" t="s">
        <v>395</v>
      </c>
      <c r="BI86" s="5" t="s">
        <v>395</v>
      </c>
      <c r="BJ86" s="5" t="s">
        <v>395</v>
      </c>
      <c r="BK86" s="5" t="s">
        <v>395</v>
      </c>
      <c r="BL86" s="5" t="s">
        <v>395</v>
      </c>
      <c r="BM86" s="5" t="s">
        <v>395</v>
      </c>
      <c r="BN86" s="5">
        <v>96</v>
      </c>
      <c r="BO86" s="57" t="s">
        <v>395</v>
      </c>
      <c r="BP86" s="57" t="s">
        <v>395</v>
      </c>
      <c r="BQ86" s="57" t="s">
        <v>395</v>
      </c>
      <c r="BR86" s="57" t="s">
        <v>395</v>
      </c>
      <c r="BS86" s="57" t="s">
        <v>395</v>
      </c>
      <c r="BT86" s="57" t="s">
        <v>395</v>
      </c>
      <c r="BU86" s="57" t="s">
        <v>395</v>
      </c>
      <c r="BV86" s="57" t="s">
        <v>395</v>
      </c>
      <c r="BW86" s="57" t="s">
        <v>395</v>
      </c>
      <c r="BX86" s="57" t="s">
        <v>395</v>
      </c>
      <c r="BY86" s="57" t="s">
        <v>395</v>
      </c>
      <c r="BZ86" s="57" t="s">
        <v>395</v>
      </c>
      <c r="CA86" s="57" t="s">
        <v>395</v>
      </c>
      <c r="CB86" s="57" t="s">
        <v>395</v>
      </c>
      <c r="CC86" s="57" t="s">
        <v>395</v>
      </c>
      <c r="CD86" s="57" t="s">
        <v>395</v>
      </c>
      <c r="CE86" s="57" t="s">
        <v>395</v>
      </c>
      <c r="CF86" s="57" t="s">
        <v>395</v>
      </c>
      <c r="CG86" s="57" t="s">
        <v>395</v>
      </c>
      <c r="CH86" s="57" t="s">
        <v>395</v>
      </c>
      <c r="CI86" s="57" t="s">
        <v>395</v>
      </c>
      <c r="CJ86" s="57" t="s">
        <v>395</v>
      </c>
      <c r="CK86" s="57" t="s">
        <v>395</v>
      </c>
      <c r="CL86" s="57" t="s">
        <v>395</v>
      </c>
      <c r="CM86" s="57" t="s">
        <v>395</v>
      </c>
      <c r="CN86" s="57" t="s">
        <v>395</v>
      </c>
      <c r="CO86" s="57" t="s">
        <v>395</v>
      </c>
      <c r="CP86" s="57" t="s">
        <v>395</v>
      </c>
      <c r="CQ86" s="57" t="s">
        <v>395</v>
      </c>
      <c r="CR86" s="57" t="s">
        <v>395</v>
      </c>
      <c r="CS86" s="57" t="s">
        <v>395</v>
      </c>
      <c r="CT86" s="57" t="s">
        <v>395</v>
      </c>
      <c r="CU86" s="57" t="s">
        <v>395</v>
      </c>
      <c r="CV86" s="57" t="s">
        <v>395</v>
      </c>
      <c r="CW86" s="57" t="s">
        <v>395</v>
      </c>
      <c r="CX86" s="57" t="s">
        <v>395</v>
      </c>
      <c r="CY86" s="59" t="s">
        <v>395</v>
      </c>
    </row>
    <row r="87" spans="1:104" x14ac:dyDescent="0.3">
      <c r="A87" s="62" t="s">
        <v>79</v>
      </c>
      <c r="B87" s="62" t="s">
        <v>79</v>
      </c>
      <c r="C87" s="14" t="s">
        <v>20</v>
      </c>
      <c r="G87" s="65">
        <v>44075</v>
      </c>
      <c r="H87" s="16">
        <v>2020</v>
      </c>
      <c r="I87" s="121" t="s">
        <v>33</v>
      </c>
      <c r="J87" s="121">
        <v>10</v>
      </c>
      <c r="K87" s="125">
        <v>0.78185411117794557</v>
      </c>
      <c r="L87" s="5" t="s">
        <v>394</v>
      </c>
      <c r="M87" s="5">
        <v>0.22215909090909092</v>
      </c>
      <c r="N87" s="5">
        <v>0.66855739599383668</v>
      </c>
      <c r="O87" s="5">
        <v>2.8267623266563944</v>
      </c>
      <c r="P87" s="5">
        <v>2.4805855161787367</v>
      </c>
      <c r="Q87" s="5">
        <v>5.4529275808936823</v>
      </c>
      <c r="R87" s="5">
        <v>5.0670261941448382</v>
      </c>
      <c r="S87" s="5">
        <v>1.8378466872110939</v>
      </c>
      <c r="T87" s="5">
        <v>18.555864791987673</v>
      </c>
      <c r="U87" s="5">
        <f t="shared" si="56"/>
        <v>102.80229422589998</v>
      </c>
      <c r="V87" s="5">
        <v>8.0000000000000002E-3</v>
      </c>
      <c r="W87" s="5">
        <v>6.9937751761792247E-2</v>
      </c>
      <c r="X87" s="5">
        <v>2.0207775316541651E-2</v>
      </c>
      <c r="Y87" s="5">
        <v>2.6560189241002657E-2</v>
      </c>
      <c r="Z87" s="5">
        <v>8.0000000000000002E-3</v>
      </c>
      <c r="AA87" s="5">
        <v>1.1529814868674887E-2</v>
      </c>
      <c r="AB87" s="5">
        <v>2.9093810979660514E-2</v>
      </c>
      <c r="AC87" s="5">
        <f>0.5*0.19</f>
        <v>9.5000000000000001E-2</v>
      </c>
      <c r="AD87" s="5">
        <v>0.17332934216767196</v>
      </c>
      <c r="AE87" s="5">
        <f t="shared" si="70"/>
        <v>0.16532934216767195</v>
      </c>
      <c r="AF87" s="66">
        <v>1.9356702619414485E-2</v>
      </c>
      <c r="AG87" s="250">
        <f t="shared" si="63"/>
        <v>0.12378717680624314</v>
      </c>
      <c r="AH87" s="88">
        <v>4.0276958045631215</v>
      </c>
      <c r="AI87" s="85">
        <f t="shared" si="64"/>
        <v>0.1</v>
      </c>
      <c r="AJ87" s="85" t="s">
        <v>395</v>
      </c>
      <c r="AK87" s="85" t="s">
        <v>395</v>
      </c>
      <c r="AL87" s="85">
        <f t="shared" si="65"/>
        <v>0.1</v>
      </c>
      <c r="AM87" s="85">
        <f t="shared" si="66"/>
        <v>0.15</v>
      </c>
      <c r="AN87" s="85">
        <v>0.46155535818315518</v>
      </c>
      <c r="AO87" s="87">
        <f>0.5*0.3</f>
        <v>0.15</v>
      </c>
      <c r="AP87" s="16" t="s">
        <v>395</v>
      </c>
      <c r="AQ87" s="87">
        <v>0.29864672568738121</v>
      </c>
      <c r="AR87" s="87">
        <f t="shared" si="67"/>
        <v>0.05</v>
      </c>
      <c r="AS87" s="87">
        <f>0.5*0.51</f>
        <v>0.255</v>
      </c>
      <c r="AT87" s="87">
        <f t="shared" si="71"/>
        <v>0.255</v>
      </c>
      <c r="AU87" s="87">
        <f t="shared" si="71"/>
        <v>0.255</v>
      </c>
      <c r="AV87" s="87">
        <f>0.5*0.1</f>
        <v>0.05</v>
      </c>
      <c r="AW87" s="85">
        <f t="shared" si="69"/>
        <v>0.15</v>
      </c>
      <c r="AX87" s="85" t="s">
        <v>395</v>
      </c>
      <c r="AY87" s="85" t="s">
        <v>395</v>
      </c>
      <c r="AZ87" s="85" t="s">
        <v>395</v>
      </c>
      <c r="BA87" s="85" t="s">
        <v>395</v>
      </c>
      <c r="BB87" s="85" t="s">
        <v>395</v>
      </c>
      <c r="BC87" s="5" t="s">
        <v>395</v>
      </c>
      <c r="BD87" s="5" t="s">
        <v>395</v>
      </c>
      <c r="BE87" s="5" t="s">
        <v>395</v>
      </c>
      <c r="BF87" s="5" t="s">
        <v>395</v>
      </c>
      <c r="BG87" s="5" t="s">
        <v>395</v>
      </c>
      <c r="BH87" s="5" t="s">
        <v>395</v>
      </c>
      <c r="BI87" s="5" t="s">
        <v>395</v>
      </c>
      <c r="BJ87" s="5" t="s">
        <v>395</v>
      </c>
      <c r="BK87" s="5" t="s">
        <v>395</v>
      </c>
      <c r="BL87" s="5" t="s">
        <v>395</v>
      </c>
      <c r="BM87" s="5" t="s">
        <v>395</v>
      </c>
      <c r="BN87" s="5">
        <v>260</v>
      </c>
      <c r="BO87" s="57" t="s">
        <v>395</v>
      </c>
      <c r="BP87" s="57" t="s">
        <v>395</v>
      </c>
      <c r="BQ87" s="57" t="s">
        <v>395</v>
      </c>
      <c r="BR87" s="57" t="s">
        <v>395</v>
      </c>
      <c r="BS87" s="57" t="s">
        <v>395</v>
      </c>
      <c r="BT87" s="57" t="s">
        <v>395</v>
      </c>
      <c r="BU87" s="57" t="s">
        <v>395</v>
      </c>
      <c r="BV87" s="57" t="s">
        <v>395</v>
      </c>
      <c r="BW87" s="57" t="s">
        <v>395</v>
      </c>
      <c r="BX87" s="57" t="s">
        <v>395</v>
      </c>
      <c r="BY87" s="57" t="s">
        <v>395</v>
      </c>
      <c r="BZ87" s="57" t="s">
        <v>395</v>
      </c>
      <c r="CA87" s="57" t="s">
        <v>395</v>
      </c>
      <c r="CB87" s="57" t="s">
        <v>395</v>
      </c>
      <c r="CC87" s="57" t="s">
        <v>395</v>
      </c>
      <c r="CD87" s="57" t="s">
        <v>395</v>
      </c>
      <c r="CE87" s="57" t="s">
        <v>395</v>
      </c>
      <c r="CF87" s="57" t="s">
        <v>395</v>
      </c>
      <c r="CG87" s="57" t="s">
        <v>395</v>
      </c>
      <c r="CH87" s="57" t="s">
        <v>395</v>
      </c>
      <c r="CI87" s="57" t="s">
        <v>395</v>
      </c>
      <c r="CJ87" s="57" t="s">
        <v>395</v>
      </c>
      <c r="CK87" s="57" t="s">
        <v>395</v>
      </c>
      <c r="CL87" s="57" t="s">
        <v>395</v>
      </c>
      <c r="CM87" s="57" t="s">
        <v>395</v>
      </c>
      <c r="CN87" s="57" t="s">
        <v>395</v>
      </c>
      <c r="CO87" s="57" t="s">
        <v>395</v>
      </c>
      <c r="CP87" s="57" t="s">
        <v>395</v>
      </c>
      <c r="CQ87" s="57" t="s">
        <v>395</v>
      </c>
      <c r="CR87" s="57" t="s">
        <v>395</v>
      </c>
      <c r="CS87" s="57" t="s">
        <v>395</v>
      </c>
      <c r="CT87" s="57" t="s">
        <v>395</v>
      </c>
      <c r="CU87" s="57" t="s">
        <v>395</v>
      </c>
      <c r="CV87" s="57" t="s">
        <v>395</v>
      </c>
      <c r="CW87" s="57" t="s">
        <v>395</v>
      </c>
      <c r="CX87" s="57" t="s">
        <v>395</v>
      </c>
      <c r="CY87" s="59" t="s">
        <v>395</v>
      </c>
    </row>
    <row r="88" spans="1:104" x14ac:dyDescent="0.3">
      <c r="A88" s="62" t="s">
        <v>25</v>
      </c>
      <c r="B88" s="62" t="s">
        <v>25</v>
      </c>
      <c r="C88" s="14" t="s">
        <v>20</v>
      </c>
      <c r="G88" s="65">
        <v>44098</v>
      </c>
      <c r="H88" s="16">
        <v>2020</v>
      </c>
      <c r="I88" s="121" t="s">
        <v>33</v>
      </c>
      <c r="J88" s="121">
        <v>10</v>
      </c>
      <c r="K88" s="125">
        <v>0.54760303583437775</v>
      </c>
      <c r="L88" s="5" t="s">
        <v>394</v>
      </c>
      <c r="M88" s="5">
        <v>1.8796321100098223E-2</v>
      </c>
      <c r="N88" s="5">
        <v>7.5033485132601122E-2</v>
      </c>
      <c r="O88" s="5">
        <v>0.82873470845611219</v>
      </c>
      <c r="P88" s="5">
        <v>0.75546923832485047</v>
      </c>
      <c r="Q88" s="5">
        <v>3.31597464059291</v>
      </c>
      <c r="R88" s="5">
        <v>2.8135547816769355</v>
      </c>
      <c r="S88" s="5">
        <v>1.3719171354585231</v>
      </c>
      <c r="T88" s="5">
        <v>9.1794803107420311</v>
      </c>
      <c r="U88" s="5">
        <f t="shared" si="56"/>
        <v>76.917132677885817</v>
      </c>
      <c r="V88" s="5">
        <v>8.0000000000000002E-3</v>
      </c>
      <c r="W88" s="5">
        <v>0.11117678962745009</v>
      </c>
      <c r="X88" s="5">
        <v>4.2714013793579503E-2</v>
      </c>
      <c r="Y88" s="5">
        <v>7.3809260356393958E-2</v>
      </c>
      <c r="Z88" s="5">
        <v>7.0000000000000001E-3</v>
      </c>
      <c r="AA88" s="5">
        <v>3.2692248433178563E-2</v>
      </c>
      <c r="AB88" s="5">
        <v>2.969497680691547E-2</v>
      </c>
      <c r="AC88" s="5">
        <f>0.5*0.18</f>
        <v>0.09</v>
      </c>
      <c r="AD88" s="5">
        <v>0.30508728901751758</v>
      </c>
      <c r="AE88" s="5">
        <f t="shared" si="70"/>
        <v>0.29808728901751763</v>
      </c>
      <c r="AF88" s="66">
        <f>0.5*0.005</f>
        <v>2.5000000000000001E-3</v>
      </c>
      <c r="AG88" s="250" t="s">
        <v>395</v>
      </c>
      <c r="AH88" s="88">
        <v>28.368659883225693</v>
      </c>
      <c r="AI88" s="85">
        <f t="shared" si="64"/>
        <v>0.1</v>
      </c>
      <c r="AJ88" s="85" t="s">
        <v>395</v>
      </c>
      <c r="AK88" s="85" t="s">
        <v>395</v>
      </c>
      <c r="AL88" s="85">
        <f t="shared" si="65"/>
        <v>0.1</v>
      </c>
      <c r="AM88" s="85">
        <f t="shared" si="66"/>
        <v>0.15</v>
      </c>
      <c r="AN88" s="86">
        <v>1.0644272019080363</v>
      </c>
      <c r="AO88" s="87">
        <v>0.43859282318140275</v>
      </c>
      <c r="AP88" s="16" t="s">
        <v>395</v>
      </c>
      <c r="AQ88" s="87">
        <v>0.49359599807957372</v>
      </c>
      <c r="AR88" s="87">
        <f t="shared" si="67"/>
        <v>0.05</v>
      </c>
      <c r="AS88" s="87">
        <f>0.5*0.51</f>
        <v>0.255</v>
      </c>
      <c r="AT88" s="87">
        <f t="shared" si="71"/>
        <v>0.255</v>
      </c>
      <c r="AU88" s="87">
        <f t="shared" si="71"/>
        <v>0.255</v>
      </c>
      <c r="AV88" s="87">
        <v>0.42128575632269344</v>
      </c>
      <c r="AW88" s="85">
        <f t="shared" si="69"/>
        <v>0.15</v>
      </c>
      <c r="AX88" s="85" t="s">
        <v>395</v>
      </c>
      <c r="AY88" s="85" t="s">
        <v>395</v>
      </c>
      <c r="AZ88" s="85" t="s">
        <v>395</v>
      </c>
      <c r="BA88" s="85" t="s">
        <v>395</v>
      </c>
      <c r="BB88" s="85" t="s">
        <v>395</v>
      </c>
      <c r="BC88" s="5" t="s">
        <v>395</v>
      </c>
      <c r="BD88" s="5" t="s">
        <v>395</v>
      </c>
      <c r="BE88" s="5" t="s">
        <v>395</v>
      </c>
      <c r="BF88" s="5" t="s">
        <v>395</v>
      </c>
      <c r="BG88" s="5" t="s">
        <v>395</v>
      </c>
      <c r="BH88" s="5" t="s">
        <v>395</v>
      </c>
      <c r="BI88" s="5" t="s">
        <v>395</v>
      </c>
      <c r="BJ88" s="5" t="s">
        <v>395</v>
      </c>
      <c r="BK88" s="5" t="s">
        <v>395</v>
      </c>
      <c r="BL88" s="5" t="s">
        <v>395</v>
      </c>
      <c r="BM88" s="5" t="s">
        <v>395</v>
      </c>
      <c r="BN88" s="5">
        <v>91</v>
      </c>
      <c r="BO88" s="57" t="s">
        <v>395</v>
      </c>
      <c r="BP88" s="57" t="s">
        <v>395</v>
      </c>
      <c r="BQ88" s="57" t="s">
        <v>395</v>
      </c>
      <c r="BR88" s="57" t="s">
        <v>395</v>
      </c>
      <c r="BS88" s="57" t="s">
        <v>395</v>
      </c>
      <c r="BT88" s="57" t="s">
        <v>395</v>
      </c>
      <c r="BU88" s="57" t="s">
        <v>395</v>
      </c>
      <c r="BV88" s="57" t="s">
        <v>395</v>
      </c>
      <c r="BW88" s="57" t="s">
        <v>395</v>
      </c>
      <c r="BX88" s="57" t="s">
        <v>395</v>
      </c>
      <c r="BY88" s="57" t="s">
        <v>395</v>
      </c>
      <c r="BZ88" s="57" t="s">
        <v>395</v>
      </c>
      <c r="CA88" s="57" t="s">
        <v>395</v>
      </c>
      <c r="CB88" s="57" t="s">
        <v>395</v>
      </c>
      <c r="CC88" s="57" t="s">
        <v>395</v>
      </c>
      <c r="CD88" s="57" t="s">
        <v>395</v>
      </c>
      <c r="CE88" s="57" t="s">
        <v>395</v>
      </c>
      <c r="CF88" s="57" t="s">
        <v>395</v>
      </c>
      <c r="CG88" s="57" t="s">
        <v>395</v>
      </c>
      <c r="CH88" s="57" t="s">
        <v>395</v>
      </c>
      <c r="CI88" s="57" t="s">
        <v>395</v>
      </c>
      <c r="CJ88" s="57" t="s">
        <v>395</v>
      </c>
      <c r="CK88" s="57" t="s">
        <v>395</v>
      </c>
      <c r="CL88" s="57" t="s">
        <v>395</v>
      </c>
      <c r="CM88" s="57" t="s">
        <v>395</v>
      </c>
      <c r="CN88" s="57" t="s">
        <v>395</v>
      </c>
      <c r="CO88" s="57" t="s">
        <v>395</v>
      </c>
      <c r="CP88" s="57" t="s">
        <v>395</v>
      </c>
      <c r="CQ88" s="57" t="s">
        <v>395</v>
      </c>
      <c r="CR88" s="57" t="s">
        <v>395</v>
      </c>
      <c r="CS88" s="57" t="s">
        <v>395</v>
      </c>
      <c r="CT88" s="57" t="s">
        <v>395</v>
      </c>
      <c r="CU88" s="57" t="s">
        <v>395</v>
      </c>
      <c r="CV88" s="57" t="s">
        <v>395</v>
      </c>
      <c r="CW88" s="57" t="s">
        <v>395</v>
      </c>
      <c r="CX88" s="57" t="s">
        <v>395</v>
      </c>
      <c r="CY88" s="59" t="s">
        <v>395</v>
      </c>
    </row>
    <row r="89" spans="1:104" x14ac:dyDescent="0.3">
      <c r="A89" s="62" t="s">
        <v>9</v>
      </c>
      <c r="B89" s="62" t="s">
        <v>9</v>
      </c>
      <c r="C89" s="14" t="s">
        <v>20</v>
      </c>
      <c r="G89" s="65">
        <v>44088</v>
      </c>
      <c r="H89" s="16">
        <v>2020</v>
      </c>
      <c r="I89" s="121" t="s">
        <v>33</v>
      </c>
      <c r="J89" s="121">
        <v>10</v>
      </c>
      <c r="K89" s="125">
        <v>0.52518053080745719</v>
      </c>
      <c r="L89" s="5" t="s">
        <v>394</v>
      </c>
      <c r="M89" s="5">
        <v>2.6367475203770994E-2</v>
      </c>
      <c r="N89" s="5">
        <v>7.952469802612197E-2</v>
      </c>
      <c r="O89" s="5">
        <v>0.68976725915741921</v>
      </c>
      <c r="P89" s="5">
        <v>0.52974565452224287</v>
      </c>
      <c r="Q89" s="5">
        <v>2.674722576843759</v>
      </c>
      <c r="R89" s="5">
        <v>2.1255032897967201</v>
      </c>
      <c r="S89" s="5">
        <v>1.0491210841598742</v>
      </c>
      <c r="T89" s="5">
        <v>7.1747520377099088</v>
      </c>
      <c r="U89" s="5">
        <f t="shared" si="56"/>
        <v>63.264020592795667</v>
      </c>
      <c r="V89" s="5">
        <v>8.9999999999999993E-3</v>
      </c>
      <c r="W89" s="5">
        <v>5.5685877009316591E-2</v>
      </c>
      <c r="X89" s="5">
        <v>2.3870542645258036E-2</v>
      </c>
      <c r="Y89" s="5">
        <v>3.6722057018917162E-2</v>
      </c>
      <c r="Z89" s="5">
        <f>0.5*0.024</f>
        <v>1.2E-2</v>
      </c>
      <c r="AA89" s="5">
        <v>1.626331415578439E-2</v>
      </c>
      <c r="AB89" s="5">
        <v>1.7637678732329552E-2</v>
      </c>
      <c r="AC89" s="5">
        <f>0.5*0.2</f>
        <v>0.1</v>
      </c>
      <c r="AD89" s="5">
        <v>0.15917946956160572</v>
      </c>
      <c r="AE89" s="5">
        <f t="shared" si="70"/>
        <v>0.15917946956160572</v>
      </c>
      <c r="AF89" s="66">
        <v>6.6777963272120202E-3</v>
      </c>
      <c r="AG89" s="250">
        <f t="shared" si="63"/>
        <v>6.3576198425948971E-2</v>
      </c>
      <c r="AH89" s="88">
        <v>1.9434212505298278</v>
      </c>
      <c r="AI89" s="85">
        <f t="shared" si="64"/>
        <v>0.1</v>
      </c>
      <c r="AJ89" s="85" t="s">
        <v>395</v>
      </c>
      <c r="AK89" s="85" t="s">
        <v>395</v>
      </c>
      <c r="AL89" s="85">
        <f t="shared" si="65"/>
        <v>0.1</v>
      </c>
      <c r="AM89" s="85">
        <f t="shared" si="66"/>
        <v>0.15</v>
      </c>
      <c r="AN89" s="85">
        <f>0.5*0.2</f>
        <v>0.1</v>
      </c>
      <c r="AO89" s="87">
        <f>0.5*0.3</f>
        <v>0.15</v>
      </c>
      <c r="AP89" s="16" t="s">
        <v>395</v>
      </c>
      <c r="AQ89" s="87">
        <f>0.5*0.2</f>
        <v>0.1</v>
      </c>
      <c r="AR89" s="87">
        <f t="shared" si="67"/>
        <v>0.05</v>
      </c>
      <c r="AS89" s="87">
        <f>0.5*0.51</f>
        <v>0.255</v>
      </c>
      <c r="AT89" s="87">
        <f t="shared" si="71"/>
        <v>0.255</v>
      </c>
      <c r="AU89" s="87">
        <f t="shared" si="71"/>
        <v>0.255</v>
      </c>
      <c r="AV89" s="87">
        <v>0.21852140503438749</v>
      </c>
      <c r="AW89" s="85">
        <f t="shared" si="69"/>
        <v>0.15</v>
      </c>
      <c r="AX89" s="85" t="s">
        <v>395</v>
      </c>
      <c r="AY89" s="85" t="s">
        <v>395</v>
      </c>
      <c r="AZ89" s="85" t="s">
        <v>395</v>
      </c>
      <c r="BA89" s="85" t="s">
        <v>395</v>
      </c>
      <c r="BB89" s="85" t="s">
        <v>395</v>
      </c>
      <c r="BC89" s="5" t="s">
        <v>395</v>
      </c>
      <c r="BD89" s="5" t="s">
        <v>395</v>
      </c>
      <c r="BE89" s="5" t="s">
        <v>395</v>
      </c>
      <c r="BF89" s="5" t="s">
        <v>395</v>
      </c>
      <c r="BG89" s="5" t="s">
        <v>395</v>
      </c>
      <c r="BH89" s="5" t="s">
        <v>395</v>
      </c>
      <c r="BI89" s="5" t="s">
        <v>395</v>
      </c>
      <c r="BJ89" s="5" t="s">
        <v>395</v>
      </c>
      <c r="BK89" s="5" t="s">
        <v>395</v>
      </c>
      <c r="BL89" s="5" t="s">
        <v>395</v>
      </c>
      <c r="BM89" s="5" t="s">
        <v>395</v>
      </c>
      <c r="BN89" s="5">
        <v>31</v>
      </c>
      <c r="BO89" s="57" t="s">
        <v>395</v>
      </c>
      <c r="BP89" s="57" t="s">
        <v>395</v>
      </c>
      <c r="BQ89" s="57" t="s">
        <v>395</v>
      </c>
      <c r="BR89" s="57" t="s">
        <v>395</v>
      </c>
      <c r="BS89" s="57" t="s">
        <v>395</v>
      </c>
      <c r="BT89" s="57" t="s">
        <v>395</v>
      </c>
      <c r="BU89" s="57" t="s">
        <v>395</v>
      </c>
      <c r="BV89" s="57" t="s">
        <v>395</v>
      </c>
      <c r="BW89" s="57" t="s">
        <v>395</v>
      </c>
      <c r="BX89" s="57" t="s">
        <v>395</v>
      </c>
      <c r="BY89" s="57" t="s">
        <v>395</v>
      </c>
      <c r="BZ89" s="57" t="s">
        <v>395</v>
      </c>
      <c r="CA89" s="57" t="s">
        <v>395</v>
      </c>
      <c r="CB89" s="57" t="s">
        <v>395</v>
      </c>
      <c r="CC89" s="57" t="s">
        <v>395</v>
      </c>
      <c r="CD89" s="57" t="s">
        <v>395</v>
      </c>
      <c r="CE89" s="57" t="s">
        <v>395</v>
      </c>
      <c r="CF89" s="57" t="s">
        <v>395</v>
      </c>
      <c r="CG89" s="57" t="s">
        <v>395</v>
      </c>
      <c r="CH89" s="57" t="s">
        <v>395</v>
      </c>
      <c r="CI89" s="57" t="s">
        <v>395</v>
      </c>
      <c r="CJ89" s="57" t="s">
        <v>395</v>
      </c>
      <c r="CK89" s="57" t="s">
        <v>395</v>
      </c>
      <c r="CL89" s="57" t="s">
        <v>395</v>
      </c>
      <c r="CM89" s="57" t="s">
        <v>395</v>
      </c>
      <c r="CN89" s="57" t="s">
        <v>395</v>
      </c>
      <c r="CO89" s="57" t="s">
        <v>395</v>
      </c>
      <c r="CP89" s="57" t="s">
        <v>395</v>
      </c>
      <c r="CQ89" s="57" t="s">
        <v>395</v>
      </c>
      <c r="CR89" s="57" t="s">
        <v>395</v>
      </c>
      <c r="CS89" s="57" t="s">
        <v>395</v>
      </c>
      <c r="CT89" s="57" t="s">
        <v>395</v>
      </c>
      <c r="CU89" s="57" t="s">
        <v>395</v>
      </c>
      <c r="CV89" s="57" t="s">
        <v>395</v>
      </c>
      <c r="CW89" s="57" t="s">
        <v>395</v>
      </c>
      <c r="CX89" s="57" t="s">
        <v>395</v>
      </c>
      <c r="CY89" s="59" t="s">
        <v>395</v>
      </c>
    </row>
    <row r="90" spans="1:104" x14ac:dyDescent="0.3">
      <c r="A90" s="62" t="s">
        <v>8</v>
      </c>
      <c r="B90" s="62" t="s">
        <v>8</v>
      </c>
      <c r="C90" s="14" t="s">
        <v>20</v>
      </c>
      <c r="G90" s="65">
        <v>44097</v>
      </c>
      <c r="H90" s="16">
        <v>2020</v>
      </c>
      <c r="I90" s="121" t="s">
        <v>33</v>
      </c>
      <c r="J90" s="121">
        <v>10</v>
      </c>
      <c r="K90" s="125">
        <v>0.52333562113932686</v>
      </c>
      <c r="L90" s="5" t="s">
        <v>394</v>
      </c>
      <c r="M90" s="5">
        <v>0.17406816822802471</v>
      </c>
      <c r="N90" s="5">
        <v>0.37479569463822998</v>
      </c>
      <c r="O90" s="5">
        <v>1.5110723539964122</v>
      </c>
      <c r="P90" s="5">
        <v>1.5094179788718356</v>
      </c>
      <c r="Q90" s="5">
        <v>4.9955949770779347</v>
      </c>
      <c r="R90" s="5">
        <v>4.0142515447478573</v>
      </c>
      <c r="S90" s="5">
        <v>1.9149093083516047</v>
      </c>
      <c r="T90" s="5">
        <v>14.494110025911899</v>
      </c>
      <c r="U90" s="5">
        <f t="shared" si="56"/>
        <v>124.0570250002452</v>
      </c>
      <c r="V90" s="5">
        <v>3.8571368420217238E-2</v>
      </c>
      <c r="W90" s="5">
        <v>0.19398858474323516</v>
      </c>
      <c r="X90" s="5">
        <v>5.1704846988411303E-2</v>
      </c>
      <c r="Y90" s="5">
        <v>8.1419671243904479E-2</v>
      </c>
      <c r="Z90" s="5">
        <v>8.9999999999999993E-3</v>
      </c>
      <c r="AA90" s="5">
        <v>3.0083298604099834E-2</v>
      </c>
      <c r="AB90" s="5">
        <v>3.4399712402063416E-2</v>
      </c>
      <c r="AC90" s="5">
        <f>0.5*0.2</f>
        <v>0.1</v>
      </c>
      <c r="AD90" s="5">
        <v>0.43916748240193149</v>
      </c>
      <c r="AE90" s="5">
        <f t="shared" si="70"/>
        <v>0.43016748240193148</v>
      </c>
      <c r="AF90" s="66">
        <v>1.5547139724935219E-2</v>
      </c>
      <c r="AG90" s="250">
        <f t="shared" si="63"/>
        <v>0.14853890215888943</v>
      </c>
      <c r="AH90" s="88">
        <v>13.046184738955827</v>
      </c>
      <c r="AI90" s="85">
        <f t="shared" si="64"/>
        <v>0.1</v>
      </c>
      <c r="AJ90" s="85" t="s">
        <v>395</v>
      </c>
      <c r="AK90" s="85" t="s">
        <v>395</v>
      </c>
      <c r="AL90" s="85">
        <f t="shared" si="65"/>
        <v>0.1</v>
      </c>
      <c r="AM90" s="85">
        <f t="shared" si="66"/>
        <v>0.15</v>
      </c>
      <c r="AN90" s="86">
        <v>1.7599717050018255</v>
      </c>
      <c r="AO90" s="87">
        <v>0.32309921504198613</v>
      </c>
      <c r="AP90" s="16" t="s">
        <v>395</v>
      </c>
      <c r="AQ90" s="87">
        <v>0.63620390653523184</v>
      </c>
      <c r="AR90" s="87">
        <f t="shared" si="67"/>
        <v>0.05</v>
      </c>
      <c r="AS90" s="87">
        <f>0.5*0.51</f>
        <v>0.255</v>
      </c>
      <c r="AT90" s="87">
        <f t="shared" si="71"/>
        <v>0.255</v>
      </c>
      <c r="AU90" s="87">
        <f t="shared" si="71"/>
        <v>0.255</v>
      </c>
      <c r="AV90" s="87">
        <v>0.27021723256663016</v>
      </c>
      <c r="AW90" s="85">
        <f t="shared" si="69"/>
        <v>0.15</v>
      </c>
      <c r="AX90" s="85" t="s">
        <v>395</v>
      </c>
      <c r="AY90" s="85" t="s">
        <v>395</v>
      </c>
      <c r="AZ90" s="85" t="s">
        <v>395</v>
      </c>
      <c r="BA90" s="85" t="s">
        <v>395</v>
      </c>
      <c r="BB90" s="85" t="s">
        <v>395</v>
      </c>
      <c r="BC90" s="5" t="s">
        <v>395</v>
      </c>
      <c r="BD90" s="5" t="s">
        <v>395</v>
      </c>
      <c r="BE90" s="5" t="s">
        <v>395</v>
      </c>
      <c r="BF90" s="5" t="s">
        <v>395</v>
      </c>
      <c r="BG90" s="5" t="s">
        <v>395</v>
      </c>
      <c r="BH90" s="5" t="s">
        <v>395</v>
      </c>
      <c r="BI90" s="5" t="s">
        <v>395</v>
      </c>
      <c r="BJ90" s="5" t="s">
        <v>395</v>
      </c>
      <c r="BK90" s="5" t="s">
        <v>395</v>
      </c>
      <c r="BL90" s="5" t="s">
        <v>395</v>
      </c>
      <c r="BM90" s="5" t="s">
        <v>395</v>
      </c>
      <c r="BN90" s="5">
        <v>160</v>
      </c>
      <c r="BO90" s="57" t="s">
        <v>395</v>
      </c>
      <c r="BP90" s="57" t="s">
        <v>395</v>
      </c>
      <c r="BQ90" s="57" t="s">
        <v>395</v>
      </c>
      <c r="BR90" s="57" t="s">
        <v>395</v>
      </c>
      <c r="BS90" s="57" t="s">
        <v>395</v>
      </c>
      <c r="BT90" s="57" t="s">
        <v>395</v>
      </c>
      <c r="BU90" s="57" t="s">
        <v>395</v>
      </c>
      <c r="BV90" s="57" t="s">
        <v>395</v>
      </c>
      <c r="BW90" s="57" t="s">
        <v>395</v>
      </c>
      <c r="BX90" s="57" t="s">
        <v>395</v>
      </c>
      <c r="BY90" s="57" t="s">
        <v>395</v>
      </c>
      <c r="BZ90" s="57" t="s">
        <v>395</v>
      </c>
      <c r="CA90" s="57" t="s">
        <v>395</v>
      </c>
      <c r="CB90" s="57" t="s">
        <v>395</v>
      </c>
      <c r="CC90" s="57" t="s">
        <v>395</v>
      </c>
      <c r="CD90" s="57" t="s">
        <v>395</v>
      </c>
      <c r="CE90" s="57" t="s">
        <v>395</v>
      </c>
      <c r="CF90" s="57" t="s">
        <v>395</v>
      </c>
      <c r="CG90" s="57" t="s">
        <v>395</v>
      </c>
      <c r="CH90" s="57" t="s">
        <v>395</v>
      </c>
      <c r="CI90" s="57" t="s">
        <v>395</v>
      </c>
      <c r="CJ90" s="57" t="s">
        <v>395</v>
      </c>
      <c r="CK90" s="57" t="s">
        <v>395</v>
      </c>
      <c r="CL90" s="57" t="s">
        <v>395</v>
      </c>
      <c r="CM90" s="57" t="s">
        <v>395</v>
      </c>
      <c r="CN90" s="57" t="s">
        <v>395</v>
      </c>
      <c r="CO90" s="57" t="s">
        <v>395</v>
      </c>
      <c r="CP90" s="57" t="s">
        <v>395</v>
      </c>
      <c r="CQ90" s="57" t="s">
        <v>395</v>
      </c>
      <c r="CR90" s="57" t="s">
        <v>395</v>
      </c>
      <c r="CS90" s="57" t="s">
        <v>395</v>
      </c>
      <c r="CT90" s="57" t="s">
        <v>395</v>
      </c>
      <c r="CU90" s="57" t="s">
        <v>395</v>
      </c>
      <c r="CV90" s="57" t="s">
        <v>395</v>
      </c>
      <c r="CW90" s="57" t="s">
        <v>395</v>
      </c>
      <c r="CX90" s="57" t="s">
        <v>395</v>
      </c>
      <c r="CY90" s="59" t="s">
        <v>395</v>
      </c>
    </row>
    <row r="91" spans="1:104" x14ac:dyDescent="0.3">
      <c r="A91" s="62" t="s">
        <v>6</v>
      </c>
      <c r="B91" s="62" t="s">
        <v>6</v>
      </c>
      <c r="C91" s="14" t="s">
        <v>20</v>
      </c>
      <c r="G91" s="65">
        <v>44076</v>
      </c>
      <c r="H91" s="16">
        <v>2020</v>
      </c>
      <c r="I91" s="121" t="s">
        <v>33</v>
      </c>
      <c r="J91" s="121">
        <v>10</v>
      </c>
      <c r="K91" s="125">
        <v>0.47424214245862151</v>
      </c>
      <c r="L91" s="5" t="s">
        <v>394</v>
      </c>
      <c r="M91" s="5">
        <v>4.192823394048277E-2</v>
      </c>
      <c r="N91" s="5">
        <v>0.20180579148326977</v>
      </c>
      <c r="O91" s="5">
        <v>1.1352431503818072</v>
      </c>
      <c r="P91" s="5">
        <v>0.98619574324897774</v>
      </c>
      <c r="Q91" s="5">
        <v>2.8460301510541921</v>
      </c>
      <c r="R91" s="5">
        <v>2.2701489999932774</v>
      </c>
      <c r="S91" s="5">
        <v>0.8815410952932754</v>
      </c>
      <c r="T91" s="5">
        <v>8.3628931653952829</v>
      </c>
      <c r="U91" s="5">
        <f t="shared" si="56"/>
        <v>77.773533409569708</v>
      </c>
      <c r="V91" s="5">
        <v>8.9999999999999993E-3</v>
      </c>
      <c r="W91" s="5">
        <v>0.109100068376923</v>
      </c>
      <c r="X91" s="5">
        <v>3.0029546545661603E-2</v>
      </c>
      <c r="Y91" s="5">
        <v>8.7190345600406199E-2</v>
      </c>
      <c r="Z91" s="5">
        <f>0.5*0.024</f>
        <v>1.2E-2</v>
      </c>
      <c r="AA91" s="5">
        <v>1.6630687209891491E-2</v>
      </c>
      <c r="AB91" s="5">
        <v>1.7838309725132572E-2</v>
      </c>
      <c r="AC91" s="5">
        <f>0.5*0.19</f>
        <v>9.5000000000000001E-2</v>
      </c>
      <c r="AD91" s="5">
        <v>0.26978895745801484</v>
      </c>
      <c r="AE91" s="5">
        <f t="shared" si="70"/>
        <v>0.26978895745801484</v>
      </c>
      <c r="AF91" s="66">
        <v>2.6104041916167664E-2</v>
      </c>
      <c r="AG91" s="250">
        <f t="shared" si="63"/>
        <v>0.27521849682986882</v>
      </c>
      <c r="AH91" s="88">
        <v>4.4276682550063837</v>
      </c>
      <c r="AI91" s="85">
        <f t="shared" si="64"/>
        <v>0.1</v>
      </c>
      <c r="AJ91" s="85" t="s">
        <v>395</v>
      </c>
      <c r="AK91" s="85" t="s">
        <v>395</v>
      </c>
      <c r="AL91" s="85">
        <f t="shared" si="65"/>
        <v>0.1</v>
      </c>
      <c r="AM91" s="85">
        <f t="shared" si="66"/>
        <v>0.15</v>
      </c>
      <c r="AN91" s="85">
        <v>0.6124295368899686</v>
      </c>
      <c r="AO91" s="87">
        <f>0.5*0.3</f>
        <v>0.15</v>
      </c>
      <c r="AP91" s="16" t="s">
        <v>395</v>
      </c>
      <c r="AQ91" s="87">
        <v>0.21646578840823447</v>
      </c>
      <c r="AR91" s="87">
        <f t="shared" si="67"/>
        <v>0.05</v>
      </c>
      <c r="AS91" s="87">
        <f>0.5*0.51</f>
        <v>0.255</v>
      </c>
      <c r="AT91" s="87">
        <f t="shared" si="71"/>
        <v>0.255</v>
      </c>
      <c r="AU91" s="87">
        <f t="shared" si="71"/>
        <v>0.255</v>
      </c>
      <c r="AV91" s="87">
        <v>0.22037434987075274</v>
      </c>
      <c r="AW91" s="85">
        <f t="shared" si="69"/>
        <v>0.15</v>
      </c>
      <c r="AX91" s="85" t="s">
        <v>395</v>
      </c>
      <c r="AY91" s="85" t="s">
        <v>395</v>
      </c>
      <c r="AZ91" s="85" t="s">
        <v>395</v>
      </c>
      <c r="BA91" s="85" t="s">
        <v>395</v>
      </c>
      <c r="BB91" s="85" t="s">
        <v>395</v>
      </c>
      <c r="BC91" s="5" t="s">
        <v>395</v>
      </c>
      <c r="BD91" s="5" t="s">
        <v>395</v>
      </c>
      <c r="BE91" s="5" t="s">
        <v>395</v>
      </c>
      <c r="BF91" s="5" t="s">
        <v>395</v>
      </c>
      <c r="BG91" s="5" t="s">
        <v>395</v>
      </c>
      <c r="BH91" s="5" t="s">
        <v>395</v>
      </c>
      <c r="BI91" s="5" t="s">
        <v>395</v>
      </c>
      <c r="BJ91" s="5" t="s">
        <v>395</v>
      </c>
      <c r="BK91" s="5" t="s">
        <v>395</v>
      </c>
      <c r="BL91" s="5" t="s">
        <v>395</v>
      </c>
      <c r="BM91" s="5" t="s">
        <v>395</v>
      </c>
      <c r="BN91" s="5">
        <v>42</v>
      </c>
      <c r="BO91" s="57" t="s">
        <v>395</v>
      </c>
      <c r="BP91" s="57" t="s">
        <v>395</v>
      </c>
      <c r="BQ91" s="57" t="s">
        <v>395</v>
      </c>
      <c r="BR91" s="57" t="s">
        <v>395</v>
      </c>
      <c r="BS91" s="57" t="s">
        <v>395</v>
      </c>
      <c r="BT91" s="57" t="s">
        <v>395</v>
      </c>
      <c r="BU91" s="57" t="s">
        <v>395</v>
      </c>
      <c r="BV91" s="57" t="s">
        <v>395</v>
      </c>
      <c r="BW91" s="57" t="s">
        <v>395</v>
      </c>
      <c r="BX91" s="57" t="s">
        <v>395</v>
      </c>
      <c r="BY91" s="57" t="s">
        <v>395</v>
      </c>
      <c r="BZ91" s="57" t="s">
        <v>395</v>
      </c>
      <c r="CA91" s="57" t="s">
        <v>395</v>
      </c>
      <c r="CB91" s="57" t="s">
        <v>395</v>
      </c>
      <c r="CC91" s="57" t="s">
        <v>395</v>
      </c>
      <c r="CD91" s="57" t="s">
        <v>395</v>
      </c>
      <c r="CE91" s="57" t="s">
        <v>395</v>
      </c>
      <c r="CF91" s="57" t="s">
        <v>395</v>
      </c>
      <c r="CG91" s="57" t="s">
        <v>395</v>
      </c>
      <c r="CH91" s="57" t="s">
        <v>395</v>
      </c>
      <c r="CI91" s="57" t="s">
        <v>395</v>
      </c>
      <c r="CJ91" s="57" t="s">
        <v>395</v>
      </c>
      <c r="CK91" s="57" t="s">
        <v>395</v>
      </c>
      <c r="CL91" s="57" t="s">
        <v>395</v>
      </c>
      <c r="CM91" s="57" t="s">
        <v>395</v>
      </c>
      <c r="CN91" s="57" t="s">
        <v>395</v>
      </c>
      <c r="CO91" s="57" t="s">
        <v>395</v>
      </c>
      <c r="CP91" s="57" t="s">
        <v>395</v>
      </c>
      <c r="CQ91" s="57" t="s">
        <v>395</v>
      </c>
      <c r="CR91" s="57" t="s">
        <v>395</v>
      </c>
      <c r="CS91" s="57" t="s">
        <v>395</v>
      </c>
      <c r="CT91" s="57" t="s">
        <v>395</v>
      </c>
      <c r="CU91" s="57" t="s">
        <v>395</v>
      </c>
      <c r="CV91" s="57" t="s">
        <v>395</v>
      </c>
      <c r="CW91" s="57" t="s">
        <v>395</v>
      </c>
      <c r="CX91" s="57" t="s">
        <v>395</v>
      </c>
      <c r="CY91" s="59" t="s">
        <v>395</v>
      </c>
    </row>
    <row r="92" spans="1:104" x14ac:dyDescent="0.3">
      <c r="A92" s="62" t="s">
        <v>22</v>
      </c>
      <c r="B92" s="62" t="s">
        <v>22</v>
      </c>
      <c r="C92" s="14" t="s">
        <v>20</v>
      </c>
      <c r="G92" s="65">
        <v>44103</v>
      </c>
      <c r="H92" s="16">
        <v>2020</v>
      </c>
      <c r="I92" s="121" t="s">
        <v>33</v>
      </c>
      <c r="J92" s="121">
        <v>10</v>
      </c>
      <c r="K92" s="125">
        <v>0.65979754157628701</v>
      </c>
      <c r="L92" s="5" t="s">
        <v>394</v>
      </c>
      <c r="M92" s="5">
        <v>0.45874618902439024</v>
      </c>
      <c r="N92" s="5">
        <v>0.93237423780487794</v>
      </c>
      <c r="O92" s="5">
        <v>3.1314119664634146</v>
      </c>
      <c r="P92" s="5">
        <v>3.0152629573170735</v>
      </c>
      <c r="Q92" s="5">
        <v>7.9381442316852437</v>
      </c>
      <c r="R92" s="5">
        <v>6.8494808040392492</v>
      </c>
      <c r="S92" s="5">
        <v>2.7946169969512193</v>
      </c>
      <c r="T92" s="5">
        <v>25.120037383285471</v>
      </c>
      <c r="U92" s="5">
        <f t="shared" si="56"/>
        <v>167.51179743076233</v>
      </c>
      <c r="V92" s="5">
        <v>1.4133504577920449E-2</v>
      </c>
      <c r="W92" s="5">
        <v>0.37347665254112311</v>
      </c>
      <c r="X92" s="5">
        <v>8.7080235970276074E-2</v>
      </c>
      <c r="Y92" s="5">
        <v>0.14503725218314784</v>
      </c>
      <c r="Z92" s="5">
        <v>1.0949848256614138E-2</v>
      </c>
      <c r="AA92" s="5">
        <v>4.171313339166112E-2</v>
      </c>
      <c r="AB92" s="5">
        <v>5.8813226814435189E-2</v>
      </c>
      <c r="AC92" s="5">
        <f>0.5*0.19</f>
        <v>9.5000000000000001E-2</v>
      </c>
      <c r="AD92" s="5">
        <v>0.73120385373517804</v>
      </c>
      <c r="AE92" s="5">
        <f t="shared" si="70"/>
        <v>0.72025400547856377</v>
      </c>
      <c r="AF92" s="66">
        <v>1.5053353658536585E-2</v>
      </c>
      <c r="AG92" s="250">
        <f t="shared" si="63"/>
        <v>0.11407555128633416</v>
      </c>
      <c r="AH92" s="88">
        <v>10.870383897410928</v>
      </c>
      <c r="AI92" s="85">
        <f t="shared" si="64"/>
        <v>0.1</v>
      </c>
      <c r="AJ92" s="85" t="s">
        <v>395</v>
      </c>
      <c r="AK92" s="85" t="s">
        <v>395</v>
      </c>
      <c r="AL92" s="85">
        <f t="shared" si="65"/>
        <v>0.1</v>
      </c>
      <c r="AM92" s="85">
        <f t="shared" si="66"/>
        <v>0.15</v>
      </c>
      <c r="AN92" s="85">
        <v>0.73104861618375161</v>
      </c>
      <c r="AO92" s="87">
        <f>0.5*0.3</f>
        <v>0.15</v>
      </c>
      <c r="AP92" s="16" t="s">
        <v>395</v>
      </c>
      <c r="AQ92" s="87">
        <v>0.57972161350539753</v>
      </c>
      <c r="AR92" s="87">
        <v>0.17805170034899773</v>
      </c>
      <c r="AS92" s="87">
        <v>0.80959337716094493</v>
      </c>
      <c r="AT92" s="87">
        <v>0.52775748721694682</v>
      </c>
      <c r="AU92" s="87">
        <f>0.5*0.51</f>
        <v>0.255</v>
      </c>
      <c r="AV92" s="87">
        <v>0.11062413765116472</v>
      </c>
      <c r="AW92" s="85">
        <f t="shared" si="69"/>
        <v>0.15</v>
      </c>
      <c r="AX92" s="85" t="s">
        <v>395</v>
      </c>
      <c r="AY92" s="85" t="s">
        <v>395</v>
      </c>
      <c r="AZ92" s="85" t="s">
        <v>395</v>
      </c>
      <c r="BA92" s="85" t="s">
        <v>395</v>
      </c>
      <c r="BB92" s="85" t="s">
        <v>395</v>
      </c>
      <c r="BC92" s="5" t="s">
        <v>395</v>
      </c>
      <c r="BD92" s="5" t="s">
        <v>395</v>
      </c>
      <c r="BE92" s="5" t="s">
        <v>395</v>
      </c>
      <c r="BF92" s="5" t="s">
        <v>395</v>
      </c>
      <c r="BG92" s="5" t="s">
        <v>395</v>
      </c>
      <c r="BH92" s="5" t="s">
        <v>395</v>
      </c>
      <c r="BI92" s="5" t="s">
        <v>395</v>
      </c>
      <c r="BJ92" s="5" t="s">
        <v>395</v>
      </c>
      <c r="BK92" s="5" t="s">
        <v>395</v>
      </c>
      <c r="BL92" s="5" t="s">
        <v>395</v>
      </c>
      <c r="BM92" s="5" t="s">
        <v>395</v>
      </c>
      <c r="BN92" s="5">
        <v>150</v>
      </c>
      <c r="BO92" s="57" t="s">
        <v>395</v>
      </c>
      <c r="BP92" s="57" t="s">
        <v>395</v>
      </c>
      <c r="BQ92" s="57" t="s">
        <v>395</v>
      </c>
      <c r="BR92" s="57" t="s">
        <v>395</v>
      </c>
      <c r="BS92" s="57" t="s">
        <v>395</v>
      </c>
      <c r="BT92" s="57" t="s">
        <v>395</v>
      </c>
      <c r="BU92" s="57" t="s">
        <v>395</v>
      </c>
      <c r="BV92" s="57" t="s">
        <v>395</v>
      </c>
      <c r="BW92" s="57" t="s">
        <v>395</v>
      </c>
      <c r="BX92" s="57" t="s">
        <v>395</v>
      </c>
      <c r="BY92" s="57" t="s">
        <v>395</v>
      </c>
      <c r="BZ92" s="57" t="s">
        <v>395</v>
      </c>
      <c r="CA92" s="57" t="s">
        <v>395</v>
      </c>
      <c r="CB92" s="57" t="s">
        <v>395</v>
      </c>
      <c r="CC92" s="57" t="s">
        <v>395</v>
      </c>
      <c r="CD92" s="57" t="s">
        <v>395</v>
      </c>
      <c r="CE92" s="57" t="s">
        <v>395</v>
      </c>
      <c r="CF92" s="57" t="s">
        <v>395</v>
      </c>
      <c r="CG92" s="57" t="s">
        <v>395</v>
      </c>
      <c r="CH92" s="57" t="s">
        <v>395</v>
      </c>
      <c r="CI92" s="57" t="s">
        <v>395</v>
      </c>
      <c r="CJ92" s="57" t="s">
        <v>395</v>
      </c>
      <c r="CK92" s="57" t="s">
        <v>395</v>
      </c>
      <c r="CL92" s="57" t="s">
        <v>395</v>
      </c>
      <c r="CM92" s="57" t="s">
        <v>395</v>
      </c>
      <c r="CN92" s="57" t="s">
        <v>395</v>
      </c>
      <c r="CO92" s="57" t="s">
        <v>395</v>
      </c>
      <c r="CP92" s="57" t="s">
        <v>395</v>
      </c>
      <c r="CQ92" s="57" t="s">
        <v>395</v>
      </c>
      <c r="CR92" s="57" t="s">
        <v>395</v>
      </c>
      <c r="CS92" s="57" t="s">
        <v>395</v>
      </c>
      <c r="CT92" s="57" t="s">
        <v>395</v>
      </c>
      <c r="CU92" s="57" t="s">
        <v>395</v>
      </c>
      <c r="CV92" s="57" t="s">
        <v>395</v>
      </c>
      <c r="CW92" s="57" t="s">
        <v>395</v>
      </c>
      <c r="CX92" s="57" t="s">
        <v>395</v>
      </c>
      <c r="CY92" s="59" t="s">
        <v>395</v>
      </c>
    </row>
    <row r="93" spans="1:104" x14ac:dyDescent="0.3">
      <c r="A93" s="62" t="s">
        <v>81</v>
      </c>
      <c r="B93" s="62" t="s">
        <v>81</v>
      </c>
      <c r="C93" s="14" t="s">
        <v>20</v>
      </c>
      <c r="G93" s="65">
        <v>44049</v>
      </c>
      <c r="H93" s="16">
        <v>2020</v>
      </c>
      <c r="I93" s="121" t="s">
        <v>33</v>
      </c>
      <c r="J93" s="121">
        <v>10</v>
      </c>
      <c r="K93" s="125">
        <v>0.64485081809432299</v>
      </c>
      <c r="L93" s="5" t="s">
        <v>394</v>
      </c>
      <c r="M93" s="5">
        <v>3.3809662681053752E-2</v>
      </c>
      <c r="N93" s="5">
        <v>5.7135219208710016E-2</v>
      </c>
      <c r="O93" s="5">
        <v>0.21169437153689122</v>
      </c>
      <c r="P93" s="5">
        <v>0.14997569748225914</v>
      </c>
      <c r="Q93" s="5">
        <v>0.44368620589093022</v>
      </c>
      <c r="R93" s="5">
        <v>0.42281520365509861</v>
      </c>
      <c r="S93" s="5">
        <v>0.178973461650627</v>
      </c>
      <c r="T93" s="5">
        <v>1.4980898221055701</v>
      </c>
      <c r="U93" s="5">
        <f t="shared" si="56"/>
        <v>10.45291474241505</v>
      </c>
      <c r="V93" s="5">
        <f>0.5*0.024</f>
        <v>1.2E-2</v>
      </c>
      <c r="W93" s="5">
        <v>4.5224689706991783E-2</v>
      </c>
      <c r="X93" s="5">
        <v>2.2460421010083532E-2</v>
      </c>
      <c r="Y93" s="5">
        <v>4.6513003899128609E-2</v>
      </c>
      <c r="Z93" s="5">
        <f>0.5*0.024</f>
        <v>1.2E-2</v>
      </c>
      <c r="AA93" s="5">
        <v>1.5982388326980436E-2</v>
      </c>
      <c r="AB93" s="5">
        <v>1.4572535060113722E-2</v>
      </c>
      <c r="AC93" s="5">
        <v>0.33111939123632167</v>
      </c>
      <c r="AD93" s="5">
        <v>0.4758724292396197</v>
      </c>
      <c r="AE93" s="5">
        <f t="shared" si="70"/>
        <v>0.15675303800329807</v>
      </c>
      <c r="AF93" s="66">
        <v>5.084826988476808E-2</v>
      </c>
      <c r="AG93" s="250">
        <f t="shared" si="63"/>
        <v>0.39426382395726794</v>
      </c>
      <c r="AH93" s="88">
        <v>4.3348077743252302</v>
      </c>
      <c r="AI93" s="85">
        <f t="shared" si="64"/>
        <v>0.1</v>
      </c>
      <c r="AJ93" s="85" t="s">
        <v>395</v>
      </c>
      <c r="AK93" s="85" t="s">
        <v>395</v>
      </c>
      <c r="AL93" s="85">
        <f t="shared" si="65"/>
        <v>0.1</v>
      </c>
      <c r="AM93" s="85">
        <f t="shared" si="66"/>
        <v>0.15</v>
      </c>
      <c r="AN93" s="85">
        <v>0.4682751477487358</v>
      </c>
      <c r="AO93" s="87">
        <v>0.80752452324377033</v>
      </c>
      <c r="AP93" s="16" t="s">
        <v>395</v>
      </c>
      <c r="AQ93" s="87">
        <v>0.75027112654603045</v>
      </c>
      <c r="AR93" s="87">
        <f>0.5*0.1</f>
        <v>0.05</v>
      </c>
      <c r="AS93" s="89">
        <v>1.6304149150063973</v>
      </c>
      <c r="AT93" s="87">
        <v>0.55200146225552915</v>
      </c>
      <c r="AU93" s="87">
        <v>0.71650520928532258</v>
      </c>
      <c r="AV93" s="87">
        <f>0.5*0.1</f>
        <v>0.05</v>
      </c>
      <c r="AW93" s="85">
        <f t="shared" si="69"/>
        <v>0.15</v>
      </c>
      <c r="AX93" s="85" t="s">
        <v>395</v>
      </c>
      <c r="AY93" s="85" t="s">
        <v>395</v>
      </c>
      <c r="AZ93" s="85" t="s">
        <v>395</v>
      </c>
      <c r="BA93" s="85" t="s">
        <v>395</v>
      </c>
      <c r="BB93" s="85" t="s">
        <v>395</v>
      </c>
      <c r="BC93" s="5" t="s">
        <v>395</v>
      </c>
      <c r="BD93" s="5" t="s">
        <v>395</v>
      </c>
      <c r="BE93" s="5" t="s">
        <v>395</v>
      </c>
      <c r="BF93" s="5" t="s">
        <v>395</v>
      </c>
      <c r="BG93" s="5" t="s">
        <v>395</v>
      </c>
      <c r="BH93" s="5" t="s">
        <v>395</v>
      </c>
      <c r="BI93" s="5" t="s">
        <v>395</v>
      </c>
      <c r="BJ93" s="5" t="s">
        <v>395</v>
      </c>
      <c r="BK93" s="5" t="s">
        <v>395</v>
      </c>
      <c r="BL93" s="5" t="s">
        <v>395</v>
      </c>
      <c r="BM93" s="5" t="s">
        <v>395</v>
      </c>
      <c r="BN93" s="5">
        <v>29</v>
      </c>
      <c r="BO93" s="57" t="s">
        <v>395</v>
      </c>
      <c r="BP93" s="57" t="s">
        <v>395</v>
      </c>
      <c r="BQ93" s="57" t="s">
        <v>395</v>
      </c>
      <c r="BR93" s="57" t="s">
        <v>395</v>
      </c>
      <c r="BS93" s="57" t="s">
        <v>395</v>
      </c>
      <c r="BT93" s="57" t="s">
        <v>395</v>
      </c>
      <c r="BU93" s="57" t="s">
        <v>395</v>
      </c>
      <c r="BV93" s="57" t="s">
        <v>395</v>
      </c>
      <c r="BW93" s="57" t="s">
        <v>395</v>
      </c>
      <c r="BX93" s="57" t="s">
        <v>395</v>
      </c>
      <c r="BY93" s="57" t="s">
        <v>395</v>
      </c>
      <c r="BZ93" s="57" t="s">
        <v>395</v>
      </c>
      <c r="CA93" s="57" t="s">
        <v>395</v>
      </c>
      <c r="CB93" s="57" t="s">
        <v>395</v>
      </c>
      <c r="CC93" s="57" t="s">
        <v>395</v>
      </c>
      <c r="CD93" s="57" t="s">
        <v>395</v>
      </c>
      <c r="CE93" s="57" t="s">
        <v>395</v>
      </c>
      <c r="CF93" s="57" t="s">
        <v>395</v>
      </c>
      <c r="CG93" s="57" t="s">
        <v>395</v>
      </c>
      <c r="CH93" s="57" t="s">
        <v>395</v>
      </c>
      <c r="CI93" s="57" t="s">
        <v>395</v>
      </c>
      <c r="CJ93" s="57" t="s">
        <v>395</v>
      </c>
      <c r="CK93" s="57" t="s">
        <v>395</v>
      </c>
      <c r="CL93" s="57" t="s">
        <v>395</v>
      </c>
      <c r="CM93" s="57" t="s">
        <v>395</v>
      </c>
      <c r="CN93" s="57" t="s">
        <v>395</v>
      </c>
      <c r="CO93" s="57" t="s">
        <v>395</v>
      </c>
      <c r="CP93" s="57" t="s">
        <v>395</v>
      </c>
      <c r="CQ93" s="57" t="s">
        <v>395</v>
      </c>
      <c r="CR93" s="57" t="s">
        <v>395</v>
      </c>
      <c r="CS93" s="57" t="s">
        <v>395</v>
      </c>
      <c r="CT93" s="57" t="s">
        <v>395</v>
      </c>
      <c r="CU93" s="57" t="s">
        <v>395</v>
      </c>
      <c r="CV93" s="57" t="s">
        <v>395</v>
      </c>
      <c r="CW93" s="57" t="s">
        <v>395</v>
      </c>
      <c r="CX93" s="57" t="s">
        <v>395</v>
      </c>
      <c r="CY93" s="59" t="s">
        <v>395</v>
      </c>
    </row>
    <row r="94" spans="1:104" x14ac:dyDescent="0.3">
      <c r="A94" s="62" t="s">
        <v>26</v>
      </c>
      <c r="B94" s="62" t="s">
        <v>26</v>
      </c>
      <c r="C94" s="14" t="s">
        <v>20</v>
      </c>
      <c r="G94" s="65">
        <v>44047</v>
      </c>
      <c r="H94" s="16">
        <v>2020</v>
      </c>
      <c r="I94" s="121" t="s">
        <v>33</v>
      </c>
      <c r="J94" s="121">
        <v>10</v>
      </c>
      <c r="K94" s="125">
        <v>0.62780269058296567</v>
      </c>
      <c r="L94" s="5" t="s">
        <v>394</v>
      </c>
      <c r="M94" s="5">
        <v>1.6077537058152794E-2</v>
      </c>
      <c r="N94" s="5">
        <f>0.5*0.02</f>
        <v>0.01</v>
      </c>
      <c r="O94" s="5">
        <v>9.5819080197643486E-2</v>
      </c>
      <c r="P94" s="5">
        <v>9.879323451159254E-2</v>
      </c>
      <c r="Q94" s="5">
        <v>0.26313188901558349</v>
      </c>
      <c r="R94" s="5">
        <v>0.25109274040288865</v>
      </c>
      <c r="S94" s="5">
        <v>9.771949828962373E-2</v>
      </c>
      <c r="T94" s="5">
        <v>0.82263397947548467</v>
      </c>
      <c r="U94" s="5">
        <f t="shared" si="56"/>
        <v>5.8445173616766564</v>
      </c>
      <c r="V94" s="5">
        <f>0.5*0.024</f>
        <v>1.2E-2</v>
      </c>
      <c r="W94" s="5">
        <v>7.0000000000000001E-3</v>
      </c>
      <c r="X94" s="5">
        <f>0.5*0.019</f>
        <v>9.4999999999999998E-3</v>
      </c>
      <c r="Y94" s="5">
        <v>8.0000000000000002E-3</v>
      </c>
      <c r="Z94" s="5">
        <f>0.5*0.024</f>
        <v>1.2E-2</v>
      </c>
      <c r="AA94" s="5">
        <f>0.5*0.024</f>
        <v>1.2E-2</v>
      </c>
      <c r="AB94" s="5">
        <f>0.5*0.024</f>
        <v>1.2E-2</v>
      </c>
      <c r="AC94" s="5">
        <f>0.5*0.19</f>
        <v>9.5000000000000001E-2</v>
      </c>
      <c r="AD94" s="5">
        <v>1.5085729940355272E-2</v>
      </c>
      <c r="AE94" s="5">
        <f t="shared" si="70"/>
        <v>6.0499999999999998E-2</v>
      </c>
      <c r="AF94" s="66">
        <f>0.5*0.005</f>
        <v>2.5000000000000001E-3</v>
      </c>
      <c r="AG94" s="250" t="s">
        <v>395</v>
      </c>
      <c r="AH94" s="88">
        <v>2.0705039652084936</v>
      </c>
      <c r="AI94" s="85">
        <f t="shared" si="64"/>
        <v>0.1</v>
      </c>
      <c r="AJ94" s="85" t="s">
        <v>395</v>
      </c>
      <c r="AK94" s="85" t="s">
        <v>395</v>
      </c>
      <c r="AL94" s="85">
        <f t="shared" si="65"/>
        <v>0.1</v>
      </c>
      <c r="AM94" s="85">
        <f t="shared" si="66"/>
        <v>0.15</v>
      </c>
      <c r="AN94" s="85">
        <v>0.26244563827065748</v>
      </c>
      <c r="AO94" s="87">
        <f>0.5*0.3</f>
        <v>0.15</v>
      </c>
      <c r="AP94" s="16" t="s">
        <v>395</v>
      </c>
      <c r="AQ94" s="87">
        <f>0.5*0.2</f>
        <v>0.1</v>
      </c>
      <c r="AR94" s="87">
        <f>0.5*0.1</f>
        <v>0.05</v>
      </c>
      <c r="AS94" s="87">
        <f>0.5*0.51</f>
        <v>0.255</v>
      </c>
      <c r="AT94" s="87">
        <f>0.5*0.51</f>
        <v>0.255</v>
      </c>
      <c r="AU94" s="87">
        <f>0.5*0.51</f>
        <v>0.255</v>
      </c>
      <c r="AV94" s="87">
        <f>0.5*0.1</f>
        <v>0.05</v>
      </c>
      <c r="AW94" s="85">
        <f t="shared" si="69"/>
        <v>0.15</v>
      </c>
      <c r="AX94" s="85" t="s">
        <v>395</v>
      </c>
      <c r="AY94" s="85" t="s">
        <v>395</v>
      </c>
      <c r="AZ94" s="85" t="s">
        <v>395</v>
      </c>
      <c r="BA94" s="85" t="s">
        <v>395</v>
      </c>
      <c r="BB94" s="85" t="s">
        <v>395</v>
      </c>
      <c r="BC94" s="5" t="s">
        <v>395</v>
      </c>
      <c r="BD94" s="5" t="s">
        <v>395</v>
      </c>
      <c r="BE94" s="5" t="s">
        <v>395</v>
      </c>
      <c r="BF94" s="5" t="s">
        <v>395</v>
      </c>
      <c r="BG94" s="5" t="s">
        <v>395</v>
      </c>
      <c r="BH94" s="5" t="s">
        <v>395</v>
      </c>
      <c r="BI94" s="5" t="s">
        <v>395</v>
      </c>
      <c r="BJ94" s="5" t="s">
        <v>395</v>
      </c>
      <c r="BK94" s="5" t="s">
        <v>395</v>
      </c>
      <c r="BL94" s="5" t="s">
        <v>395</v>
      </c>
      <c r="BM94" s="5" t="s">
        <v>395</v>
      </c>
      <c r="BN94" s="5">
        <v>45</v>
      </c>
      <c r="BO94" s="57" t="s">
        <v>395</v>
      </c>
      <c r="BP94" s="57" t="s">
        <v>395</v>
      </c>
      <c r="BQ94" s="57" t="s">
        <v>395</v>
      </c>
      <c r="BR94" s="57" t="s">
        <v>395</v>
      </c>
      <c r="BS94" s="57" t="s">
        <v>395</v>
      </c>
      <c r="BT94" s="57" t="s">
        <v>395</v>
      </c>
      <c r="BU94" s="57" t="s">
        <v>395</v>
      </c>
      <c r="BV94" s="57" t="s">
        <v>395</v>
      </c>
      <c r="BW94" s="57" t="s">
        <v>395</v>
      </c>
      <c r="BX94" s="57" t="s">
        <v>395</v>
      </c>
      <c r="BY94" s="57" t="s">
        <v>395</v>
      </c>
      <c r="BZ94" s="57" t="s">
        <v>395</v>
      </c>
      <c r="CA94" s="57" t="s">
        <v>395</v>
      </c>
      <c r="CB94" s="57" t="s">
        <v>395</v>
      </c>
      <c r="CC94" s="57" t="s">
        <v>395</v>
      </c>
      <c r="CD94" s="57" t="s">
        <v>395</v>
      </c>
      <c r="CE94" s="57" t="s">
        <v>395</v>
      </c>
      <c r="CF94" s="57" t="s">
        <v>395</v>
      </c>
      <c r="CG94" s="57" t="s">
        <v>395</v>
      </c>
      <c r="CH94" s="57" t="s">
        <v>395</v>
      </c>
      <c r="CI94" s="57" t="s">
        <v>395</v>
      </c>
      <c r="CJ94" s="57" t="s">
        <v>395</v>
      </c>
      <c r="CK94" s="57" t="s">
        <v>395</v>
      </c>
      <c r="CL94" s="57" t="s">
        <v>395</v>
      </c>
      <c r="CM94" s="57" t="s">
        <v>395</v>
      </c>
      <c r="CN94" s="57" t="s">
        <v>395</v>
      </c>
      <c r="CO94" s="57" t="s">
        <v>395</v>
      </c>
      <c r="CP94" s="57" t="s">
        <v>395</v>
      </c>
      <c r="CQ94" s="57" t="s">
        <v>395</v>
      </c>
      <c r="CR94" s="57" t="s">
        <v>395</v>
      </c>
      <c r="CS94" s="57" t="s">
        <v>395</v>
      </c>
      <c r="CT94" s="57" t="s">
        <v>395</v>
      </c>
      <c r="CU94" s="57" t="s">
        <v>395</v>
      </c>
      <c r="CV94" s="57" t="s">
        <v>395</v>
      </c>
      <c r="CW94" s="57" t="s">
        <v>395</v>
      </c>
      <c r="CX94" s="57" t="s">
        <v>395</v>
      </c>
      <c r="CY94" s="59" t="s">
        <v>395</v>
      </c>
    </row>
    <row r="95" spans="1:104" x14ac:dyDescent="0.3">
      <c r="A95" s="63" t="s">
        <v>4</v>
      </c>
      <c r="B95" s="63" t="s">
        <v>4</v>
      </c>
      <c r="C95" s="14" t="s">
        <v>20</v>
      </c>
      <c r="G95" s="65">
        <v>44102</v>
      </c>
      <c r="H95" s="16">
        <v>2020</v>
      </c>
      <c r="I95" s="121" t="s">
        <v>33</v>
      </c>
      <c r="J95" s="121">
        <v>10</v>
      </c>
      <c r="K95" s="125">
        <v>0.71698864767975456</v>
      </c>
      <c r="L95" s="5" t="s">
        <v>394</v>
      </c>
      <c r="M95" s="5">
        <v>0.24733352832212149</v>
      </c>
      <c r="N95" s="5">
        <v>0.512513405479185</v>
      </c>
      <c r="O95" s="5">
        <v>1.2569172272594327</v>
      </c>
      <c r="P95" s="5">
        <v>1.0798089109876181</v>
      </c>
      <c r="Q95" s="5">
        <v>2.3114068441064641</v>
      </c>
      <c r="R95" s="5">
        <v>2.2461245978356246</v>
      </c>
      <c r="S95" s="5">
        <v>0.63068148581456562</v>
      </c>
      <c r="T95" s="5">
        <v>8.2847859998050115</v>
      </c>
      <c r="U95" s="5">
        <f t="shared" si="56"/>
        <v>50.244708281877294</v>
      </c>
      <c r="V95" s="5">
        <v>8.9999999999999993E-3</v>
      </c>
      <c r="W95" s="5">
        <v>6.0955815946042491E-2</v>
      </c>
      <c r="X95" s="5">
        <v>1.881897450017796E-2</v>
      </c>
      <c r="Y95" s="5">
        <v>3.7590215393507022E-2</v>
      </c>
      <c r="Z95" s="5">
        <f>0.5*0.024</f>
        <v>1.2E-2</v>
      </c>
      <c r="AA95" s="5">
        <v>1.0047924241692987E-2</v>
      </c>
      <c r="AB95" s="5">
        <v>1.5501488824179559E-2</v>
      </c>
      <c r="AC95" s="5">
        <f>0.5*0.19</f>
        <v>9.5000000000000001E-2</v>
      </c>
      <c r="AD95" s="5">
        <v>0.15150646813840163</v>
      </c>
      <c r="AE95" s="5">
        <f t="shared" si="70"/>
        <v>0.15191441890560003</v>
      </c>
      <c r="AF95" s="66">
        <v>2.0473822755191579E-2</v>
      </c>
      <c r="AG95" s="250">
        <f t="shared" si="63"/>
        <v>0.14277647785252162</v>
      </c>
      <c r="AH95" s="86">
        <v>10.3680036829162</v>
      </c>
      <c r="AI95" s="85">
        <f t="shared" si="64"/>
        <v>0.1</v>
      </c>
      <c r="AJ95" s="85" t="s">
        <v>395</v>
      </c>
      <c r="AK95" s="85" t="s">
        <v>395</v>
      </c>
      <c r="AL95" s="85">
        <f t="shared" si="65"/>
        <v>0.1</v>
      </c>
      <c r="AM95" s="85">
        <f t="shared" si="66"/>
        <v>0.15</v>
      </c>
      <c r="AN95" s="85">
        <v>0.65612384359481168</v>
      </c>
      <c r="AO95" s="87">
        <f>0.5*0.3</f>
        <v>0.15</v>
      </c>
      <c r="AP95" s="16" t="s">
        <v>395</v>
      </c>
      <c r="AQ95" s="87">
        <v>0.6652210221206496</v>
      </c>
      <c r="AR95" s="87">
        <v>0.13098934915972257</v>
      </c>
      <c r="AS95" s="87">
        <v>0.87687052395961151</v>
      </c>
      <c r="AT95" s="87">
        <v>0.52935511149704451</v>
      </c>
      <c r="AU95" s="87">
        <f>0.5*0.51</f>
        <v>0.255</v>
      </c>
      <c r="AV95" s="87">
        <f>0.5*0.1</f>
        <v>0.05</v>
      </c>
      <c r="AW95" s="85">
        <f t="shared" si="69"/>
        <v>0.15</v>
      </c>
      <c r="AX95" s="85" t="s">
        <v>395</v>
      </c>
      <c r="AY95" s="85" t="s">
        <v>395</v>
      </c>
      <c r="AZ95" s="85" t="s">
        <v>395</v>
      </c>
      <c r="BA95" s="85" t="s">
        <v>395</v>
      </c>
      <c r="BB95" s="85" t="s">
        <v>395</v>
      </c>
      <c r="BC95" s="5" t="s">
        <v>395</v>
      </c>
      <c r="BD95" s="5" t="s">
        <v>395</v>
      </c>
      <c r="BE95" s="5" t="s">
        <v>395</v>
      </c>
      <c r="BF95" s="5" t="s">
        <v>395</v>
      </c>
      <c r="BG95" s="5" t="s">
        <v>395</v>
      </c>
      <c r="BH95" s="5" t="s">
        <v>395</v>
      </c>
      <c r="BI95" s="5" t="s">
        <v>395</v>
      </c>
      <c r="BJ95" s="5" t="s">
        <v>395</v>
      </c>
      <c r="BK95" s="5" t="s">
        <v>395</v>
      </c>
      <c r="BL95" s="5" t="s">
        <v>395</v>
      </c>
      <c r="BM95" s="5" t="s">
        <v>395</v>
      </c>
      <c r="BN95" s="5">
        <v>87</v>
      </c>
      <c r="BO95" s="57" t="s">
        <v>395</v>
      </c>
      <c r="BP95" s="57" t="s">
        <v>395</v>
      </c>
      <c r="BQ95" s="57" t="s">
        <v>395</v>
      </c>
      <c r="BR95" s="57" t="s">
        <v>395</v>
      </c>
      <c r="BS95" s="57" t="s">
        <v>395</v>
      </c>
      <c r="BT95" s="57" t="s">
        <v>395</v>
      </c>
      <c r="BU95" s="57" t="s">
        <v>395</v>
      </c>
      <c r="BV95" s="57" t="s">
        <v>395</v>
      </c>
      <c r="BW95" s="57" t="s">
        <v>395</v>
      </c>
      <c r="BX95" s="57" t="s">
        <v>395</v>
      </c>
      <c r="BY95" s="57" t="s">
        <v>395</v>
      </c>
      <c r="BZ95" s="57" t="s">
        <v>395</v>
      </c>
      <c r="CA95" s="57" t="s">
        <v>395</v>
      </c>
      <c r="CB95" s="57" t="s">
        <v>395</v>
      </c>
      <c r="CC95" s="57" t="s">
        <v>395</v>
      </c>
      <c r="CD95" s="57" t="s">
        <v>395</v>
      </c>
      <c r="CE95" s="57" t="s">
        <v>395</v>
      </c>
      <c r="CF95" s="57" t="s">
        <v>395</v>
      </c>
      <c r="CG95" s="57" t="s">
        <v>395</v>
      </c>
      <c r="CH95" s="57" t="s">
        <v>395</v>
      </c>
      <c r="CI95" s="57" t="s">
        <v>395</v>
      </c>
      <c r="CJ95" s="57" t="s">
        <v>395</v>
      </c>
      <c r="CK95" s="57" t="s">
        <v>395</v>
      </c>
      <c r="CL95" s="57" t="s">
        <v>395</v>
      </c>
      <c r="CM95" s="57" t="s">
        <v>395</v>
      </c>
      <c r="CN95" s="57" t="s">
        <v>395</v>
      </c>
      <c r="CO95" s="57" t="s">
        <v>395</v>
      </c>
      <c r="CP95" s="57" t="s">
        <v>395</v>
      </c>
      <c r="CQ95" s="57" t="s">
        <v>395</v>
      </c>
      <c r="CR95" s="57" t="s">
        <v>395</v>
      </c>
      <c r="CS95" s="57" t="s">
        <v>395</v>
      </c>
      <c r="CT95" s="57" t="s">
        <v>395</v>
      </c>
      <c r="CU95" s="57" t="s">
        <v>395</v>
      </c>
      <c r="CV95" s="57" t="s">
        <v>395</v>
      </c>
      <c r="CW95" s="57" t="s">
        <v>395</v>
      </c>
      <c r="CX95" s="57" t="s">
        <v>395</v>
      </c>
      <c r="CY95" s="59" t="s">
        <v>395</v>
      </c>
    </row>
    <row r="96" spans="1:104" x14ac:dyDescent="0.3">
      <c r="A96" s="63" t="s">
        <v>112</v>
      </c>
      <c r="B96" s="63" t="s">
        <v>24</v>
      </c>
      <c r="C96" s="14" t="s">
        <v>20</v>
      </c>
      <c r="G96" s="65">
        <v>44074</v>
      </c>
      <c r="H96" s="16">
        <v>2020</v>
      </c>
      <c r="I96" s="121" t="s">
        <v>33</v>
      </c>
      <c r="J96" s="121">
        <v>10</v>
      </c>
      <c r="K96" s="125">
        <v>0.75224697147323127</v>
      </c>
      <c r="L96" s="5" t="s">
        <v>394</v>
      </c>
      <c r="M96" s="5">
        <v>0.4051540399147453</v>
      </c>
      <c r="N96" s="5">
        <v>1.0740602596396047</v>
      </c>
      <c r="O96" s="5">
        <v>4.8238325905832209</v>
      </c>
      <c r="P96" s="5">
        <v>4.1870567719434213</v>
      </c>
      <c r="Q96" s="5">
        <v>9.8106665374927342</v>
      </c>
      <c r="R96" s="5">
        <v>8.7509688044952529</v>
      </c>
      <c r="S96" s="5">
        <v>3.4272718465413683</v>
      </c>
      <c r="T96" s="5">
        <v>32.479010850610344</v>
      </c>
      <c r="U96" s="5">
        <f t="shared" si="56"/>
        <v>188.04963762937331</v>
      </c>
      <c r="V96" s="5">
        <v>5.7587019219389739E-2</v>
      </c>
      <c r="W96" s="5">
        <v>0.15397039633290222</v>
      </c>
      <c r="X96" s="5">
        <v>4.563446321850561E-2</v>
      </c>
      <c r="Y96" s="5">
        <v>6.417081484162615E-2</v>
      </c>
      <c r="Z96" s="5">
        <v>1.1669989665165831E-2</v>
      </c>
      <c r="AA96" s="5">
        <v>2.2280355571388032E-2</v>
      </c>
      <c r="AB96" s="5">
        <v>5.9211775649769968E-2</v>
      </c>
      <c r="AC96" s="5">
        <f>0.5*0.19</f>
        <v>9.5000000000000001E-2</v>
      </c>
      <c r="AD96" s="5">
        <v>0.41452481449874762</v>
      </c>
      <c r="AE96" s="5">
        <f t="shared" si="70"/>
        <v>0.40285482483358176</v>
      </c>
      <c r="AF96" s="66">
        <v>3.5264483627204031E-2</v>
      </c>
      <c r="AG96" s="250">
        <f t="shared" si="63"/>
        <v>0.23439432104419525</v>
      </c>
      <c r="AH96" s="88">
        <v>6.2167265304520178</v>
      </c>
      <c r="AI96" s="85">
        <f t="shared" si="64"/>
        <v>0.1</v>
      </c>
      <c r="AJ96" s="85" t="s">
        <v>395</v>
      </c>
      <c r="AK96" s="85" t="s">
        <v>395</v>
      </c>
      <c r="AL96" s="85">
        <f t="shared" si="65"/>
        <v>0.1</v>
      </c>
      <c r="AM96" s="85">
        <f t="shared" si="66"/>
        <v>0.15</v>
      </c>
      <c r="AN96" s="85">
        <v>0.2331547233508017</v>
      </c>
      <c r="AO96" s="87">
        <f>0.5*0.3</f>
        <v>0.15</v>
      </c>
      <c r="AP96" s="16" t="s">
        <v>395</v>
      </c>
      <c r="AQ96" s="87">
        <v>0.34173389075349847</v>
      </c>
      <c r="AR96" s="87">
        <f>0.5*0.1</f>
        <v>0.05</v>
      </c>
      <c r="AS96" s="87">
        <f>0.5*0.51</f>
        <v>0.255</v>
      </c>
      <c r="AT96" s="87">
        <f>0.5*0.51</f>
        <v>0.255</v>
      </c>
      <c r="AU96" s="87">
        <f>0.5*0.51</f>
        <v>0.255</v>
      </c>
      <c r="AV96" s="87">
        <v>0.28718914993424788</v>
      </c>
      <c r="AW96" s="85">
        <f t="shared" si="69"/>
        <v>0.15</v>
      </c>
      <c r="AX96" s="85" t="s">
        <v>395</v>
      </c>
      <c r="AY96" s="85" t="s">
        <v>395</v>
      </c>
      <c r="AZ96" s="85" t="s">
        <v>395</v>
      </c>
      <c r="BA96" s="85" t="s">
        <v>395</v>
      </c>
      <c r="BB96" s="85" t="s">
        <v>395</v>
      </c>
      <c r="BC96" s="5" t="s">
        <v>395</v>
      </c>
      <c r="BD96" s="5" t="s">
        <v>395</v>
      </c>
      <c r="BE96" s="5" t="s">
        <v>395</v>
      </c>
      <c r="BF96" s="5" t="s">
        <v>395</v>
      </c>
      <c r="BG96" s="5" t="s">
        <v>395</v>
      </c>
      <c r="BH96" s="5" t="s">
        <v>395</v>
      </c>
      <c r="BI96" s="5" t="s">
        <v>395</v>
      </c>
      <c r="BJ96" s="5" t="s">
        <v>395</v>
      </c>
      <c r="BK96" s="5" t="s">
        <v>395</v>
      </c>
      <c r="BL96" s="5" t="s">
        <v>395</v>
      </c>
      <c r="BM96" s="5" t="s">
        <v>395</v>
      </c>
      <c r="BN96" s="5">
        <v>260</v>
      </c>
      <c r="BO96" s="57" t="s">
        <v>395</v>
      </c>
      <c r="BP96" s="57" t="s">
        <v>395</v>
      </c>
      <c r="BQ96" s="57" t="s">
        <v>395</v>
      </c>
      <c r="BR96" s="57" t="s">
        <v>395</v>
      </c>
      <c r="BS96" s="57" t="s">
        <v>395</v>
      </c>
      <c r="BT96" s="57" t="s">
        <v>395</v>
      </c>
      <c r="BU96" s="57" t="s">
        <v>395</v>
      </c>
      <c r="BV96" s="57" t="s">
        <v>395</v>
      </c>
      <c r="BW96" s="57" t="s">
        <v>395</v>
      </c>
      <c r="BX96" s="57" t="s">
        <v>395</v>
      </c>
      <c r="BY96" s="57" t="s">
        <v>395</v>
      </c>
      <c r="BZ96" s="57" t="s">
        <v>395</v>
      </c>
      <c r="CA96" s="57" t="s">
        <v>395</v>
      </c>
      <c r="CB96" s="57" t="s">
        <v>395</v>
      </c>
      <c r="CC96" s="57" t="s">
        <v>395</v>
      </c>
      <c r="CD96" s="57" t="s">
        <v>395</v>
      </c>
      <c r="CE96" s="57" t="s">
        <v>395</v>
      </c>
      <c r="CF96" s="57" t="s">
        <v>395</v>
      </c>
      <c r="CG96" s="57" t="s">
        <v>395</v>
      </c>
      <c r="CH96" s="16" t="s">
        <v>395</v>
      </c>
      <c r="CI96" s="16" t="s">
        <v>395</v>
      </c>
      <c r="CJ96" s="16" t="s">
        <v>395</v>
      </c>
      <c r="CK96" s="16" t="s">
        <v>395</v>
      </c>
      <c r="CL96" s="16" t="s">
        <v>395</v>
      </c>
      <c r="CM96" s="16" t="s">
        <v>395</v>
      </c>
      <c r="CN96" s="16" t="s">
        <v>395</v>
      </c>
      <c r="CO96" s="16" t="s">
        <v>395</v>
      </c>
      <c r="CP96" s="16" t="s">
        <v>395</v>
      </c>
      <c r="CQ96" s="16" t="s">
        <v>395</v>
      </c>
      <c r="CR96" s="16" t="s">
        <v>395</v>
      </c>
      <c r="CS96" s="16" t="s">
        <v>395</v>
      </c>
      <c r="CT96" s="16" t="s">
        <v>395</v>
      </c>
      <c r="CU96" s="16" t="s">
        <v>395</v>
      </c>
      <c r="CV96" s="16" t="s">
        <v>395</v>
      </c>
      <c r="CW96" s="16" t="s">
        <v>395</v>
      </c>
      <c r="CX96" s="16" t="s">
        <v>395</v>
      </c>
      <c r="CY96" s="97" t="s">
        <v>395</v>
      </c>
    </row>
    <row r="97" spans="1:103" x14ac:dyDescent="0.3">
      <c r="A97" s="63" t="s">
        <v>23</v>
      </c>
      <c r="B97" s="63" t="s">
        <v>23</v>
      </c>
      <c r="C97" s="14" t="s">
        <v>20</v>
      </c>
      <c r="G97" s="65">
        <v>44075</v>
      </c>
      <c r="H97" s="16">
        <v>2020</v>
      </c>
      <c r="I97" s="121" t="s">
        <v>33</v>
      </c>
      <c r="J97" s="121">
        <v>10</v>
      </c>
      <c r="K97" s="125">
        <v>0.74007400740073848</v>
      </c>
      <c r="L97" s="5" t="s">
        <v>394</v>
      </c>
      <c r="M97" s="5">
        <v>0.12027608517499169</v>
      </c>
      <c r="N97" s="5">
        <v>0.71962922551022945</v>
      </c>
      <c r="O97" s="5">
        <v>2.7601247041799404</v>
      </c>
      <c r="P97" s="5">
        <v>2.1810097672893844</v>
      </c>
      <c r="Q97" s="5">
        <v>4.5397986577181211</v>
      </c>
      <c r="R97" s="5">
        <v>4.2994726749760304</v>
      </c>
      <c r="S97" s="5">
        <v>1.4090816119284386</v>
      </c>
      <c r="T97" s="5">
        <v>16.029392726777136</v>
      </c>
      <c r="U97" s="5">
        <f t="shared" si="56"/>
        <v>93.560798116161038</v>
      </c>
      <c r="V97" s="5">
        <v>3.1367494810090484E-2</v>
      </c>
      <c r="W97" s="5">
        <v>4.419965177785478E-2</v>
      </c>
      <c r="X97" s="5">
        <v>1.3319303667466453E-2</v>
      </c>
      <c r="Y97" s="5">
        <v>2.9145630594375742E-2</v>
      </c>
      <c r="Z97" s="5">
        <v>9.6122360990012132E-3</v>
      </c>
      <c r="AA97" s="5">
        <v>1.0907333422599599E-2</v>
      </c>
      <c r="AB97" s="5">
        <v>1.2653932565434229E-2</v>
      </c>
      <c r="AC97" s="5">
        <f>0.5*0.19</f>
        <v>9.5000000000000001E-2</v>
      </c>
      <c r="AD97" s="5">
        <v>0.15120558293682251</v>
      </c>
      <c r="AE97" s="5">
        <f t="shared" si="70"/>
        <v>0.14159334683782127</v>
      </c>
      <c r="AF97" s="66">
        <v>1.8603759110088224E-2</v>
      </c>
      <c r="AG97" s="250">
        <f t="shared" si="63"/>
        <v>0.12568850496065714</v>
      </c>
      <c r="AH97" s="88">
        <v>31.004514573745347</v>
      </c>
      <c r="AI97" s="85">
        <f t="shared" si="64"/>
        <v>0.1</v>
      </c>
      <c r="AJ97" s="85" t="s">
        <v>395</v>
      </c>
      <c r="AK97" s="85" t="s">
        <v>395</v>
      </c>
      <c r="AL97" s="85">
        <f t="shared" si="65"/>
        <v>0.1</v>
      </c>
      <c r="AM97" s="85">
        <f t="shared" si="66"/>
        <v>0.15</v>
      </c>
      <c r="AN97" s="86">
        <v>1.3287091825553365</v>
      </c>
      <c r="AO97" s="87">
        <v>0.31820074512382207</v>
      </c>
      <c r="AP97" s="16" t="s">
        <v>395</v>
      </c>
      <c r="AQ97" s="89">
        <v>1.5597413982029369</v>
      </c>
      <c r="AR97" s="87">
        <f>0.5*0.1</f>
        <v>0.05</v>
      </c>
      <c r="AS97" s="89">
        <v>2.1564760026298488</v>
      </c>
      <c r="AT97" s="89">
        <v>1.4464168310322156</v>
      </c>
      <c r="AU97" s="89">
        <v>1.3412228796844183</v>
      </c>
      <c r="AV97" s="87">
        <v>0.19574841113302655</v>
      </c>
      <c r="AW97" s="85">
        <f t="shared" si="69"/>
        <v>0.15</v>
      </c>
      <c r="AX97" s="85" t="s">
        <v>395</v>
      </c>
      <c r="AY97" s="85" t="s">
        <v>395</v>
      </c>
      <c r="AZ97" s="85" t="s">
        <v>395</v>
      </c>
      <c r="BA97" s="85" t="s">
        <v>395</v>
      </c>
      <c r="BB97" s="85" t="s">
        <v>395</v>
      </c>
      <c r="BC97" s="5" t="s">
        <v>395</v>
      </c>
      <c r="BD97" s="5" t="s">
        <v>395</v>
      </c>
      <c r="BE97" s="5" t="s">
        <v>395</v>
      </c>
      <c r="BF97" s="5" t="s">
        <v>395</v>
      </c>
      <c r="BG97" s="5" t="s">
        <v>395</v>
      </c>
      <c r="BH97" s="5" t="s">
        <v>395</v>
      </c>
      <c r="BI97" s="5" t="s">
        <v>395</v>
      </c>
      <c r="BJ97" s="5" t="s">
        <v>395</v>
      </c>
      <c r="BK97" s="5" t="s">
        <v>395</v>
      </c>
      <c r="BL97" s="5" t="s">
        <v>395</v>
      </c>
      <c r="BM97" s="5" t="s">
        <v>395</v>
      </c>
      <c r="BN97" s="5">
        <v>590</v>
      </c>
      <c r="BO97" s="57" t="s">
        <v>395</v>
      </c>
      <c r="BP97" s="57" t="s">
        <v>395</v>
      </c>
      <c r="BQ97" s="57" t="s">
        <v>395</v>
      </c>
      <c r="BR97" s="57" t="s">
        <v>395</v>
      </c>
      <c r="BS97" s="57" t="s">
        <v>395</v>
      </c>
      <c r="BT97" s="57" t="s">
        <v>395</v>
      </c>
      <c r="BU97" s="57" t="s">
        <v>395</v>
      </c>
      <c r="BV97" s="57" t="s">
        <v>395</v>
      </c>
      <c r="BW97" s="57" t="s">
        <v>395</v>
      </c>
      <c r="BX97" s="57" t="s">
        <v>395</v>
      </c>
      <c r="BY97" s="57" t="s">
        <v>395</v>
      </c>
      <c r="BZ97" s="57" t="s">
        <v>395</v>
      </c>
      <c r="CA97" s="57" t="s">
        <v>395</v>
      </c>
      <c r="CB97" s="57" t="s">
        <v>395</v>
      </c>
      <c r="CC97" s="57" t="s">
        <v>395</v>
      </c>
      <c r="CD97" s="57" t="s">
        <v>395</v>
      </c>
      <c r="CE97" s="57" t="s">
        <v>395</v>
      </c>
      <c r="CF97" s="57" t="s">
        <v>395</v>
      </c>
      <c r="CG97" s="57" t="s">
        <v>395</v>
      </c>
      <c r="CH97" s="16" t="s">
        <v>395</v>
      </c>
      <c r="CI97" s="16" t="s">
        <v>395</v>
      </c>
      <c r="CJ97" s="16" t="s">
        <v>395</v>
      </c>
      <c r="CK97" s="16" t="s">
        <v>395</v>
      </c>
      <c r="CL97" s="16" t="s">
        <v>395</v>
      </c>
      <c r="CM97" s="16" t="s">
        <v>395</v>
      </c>
      <c r="CN97" s="16" t="s">
        <v>395</v>
      </c>
      <c r="CO97" s="16" t="s">
        <v>395</v>
      </c>
      <c r="CP97" s="16" t="s">
        <v>395</v>
      </c>
      <c r="CQ97" s="16" t="s">
        <v>395</v>
      </c>
      <c r="CR97" s="16" t="s">
        <v>395</v>
      </c>
      <c r="CS97" s="16" t="s">
        <v>395</v>
      </c>
      <c r="CT97" s="16" t="s">
        <v>395</v>
      </c>
      <c r="CU97" s="16" t="s">
        <v>395</v>
      </c>
      <c r="CV97" s="16" t="s">
        <v>395</v>
      </c>
      <c r="CW97" s="16" t="s">
        <v>395</v>
      </c>
      <c r="CX97" s="16" t="s">
        <v>395</v>
      </c>
      <c r="CY97" s="97" t="s">
        <v>395</v>
      </c>
    </row>
    <row r="98" spans="1:103" x14ac:dyDescent="0.3">
      <c r="A98" s="63" t="s">
        <v>32</v>
      </c>
      <c r="B98" s="63" t="s">
        <v>32</v>
      </c>
      <c r="C98" s="14" t="s">
        <v>127</v>
      </c>
      <c r="G98" s="65" t="s">
        <v>127</v>
      </c>
      <c r="H98" s="16">
        <v>2020</v>
      </c>
      <c r="I98" s="121" t="s">
        <v>3</v>
      </c>
      <c r="J98" s="121" t="s">
        <v>394</v>
      </c>
      <c r="K98" s="251" t="s">
        <v>395</v>
      </c>
      <c r="L98" s="5" t="s">
        <v>395</v>
      </c>
      <c r="M98" s="5" t="s">
        <v>395</v>
      </c>
      <c r="N98" s="5" t="s">
        <v>395</v>
      </c>
      <c r="O98" s="5" t="s">
        <v>395</v>
      </c>
      <c r="P98" s="5" t="s">
        <v>395</v>
      </c>
      <c r="Q98" s="5" t="s">
        <v>395</v>
      </c>
      <c r="R98" s="5" t="s">
        <v>395</v>
      </c>
      <c r="S98" s="5" t="s">
        <v>395</v>
      </c>
      <c r="T98" s="5" t="s">
        <v>394</v>
      </c>
      <c r="U98" s="5" t="s">
        <v>395</v>
      </c>
      <c r="V98" s="5">
        <f>0.5*0.024</f>
        <v>1.2E-2</v>
      </c>
      <c r="W98" s="5" t="s">
        <v>395</v>
      </c>
      <c r="X98" s="5">
        <f>0.5*0.019</f>
        <v>9.4999999999999998E-3</v>
      </c>
      <c r="Y98" s="5" t="s">
        <v>395</v>
      </c>
      <c r="Z98" s="5">
        <f>0.5*0.024</f>
        <v>1.2E-2</v>
      </c>
      <c r="AA98" s="5">
        <f>0.5*0.024</f>
        <v>1.2E-2</v>
      </c>
      <c r="AB98" s="5">
        <f>0.5*0.024</f>
        <v>1.2E-2</v>
      </c>
      <c r="AC98" s="5">
        <f>0.5*0.19</f>
        <v>9.5000000000000001E-2</v>
      </c>
      <c r="AD98" s="5" t="s">
        <v>394</v>
      </c>
      <c r="AE98" s="5" t="s">
        <v>394</v>
      </c>
      <c r="AF98" s="5" t="s">
        <v>395</v>
      </c>
      <c r="AG98" s="250" t="s">
        <v>395</v>
      </c>
      <c r="AH98" s="88" t="s">
        <v>395</v>
      </c>
      <c r="AI98" s="85">
        <f t="shared" si="64"/>
        <v>0.1</v>
      </c>
      <c r="AJ98" s="85" t="s">
        <v>395</v>
      </c>
      <c r="AK98" s="85" t="s">
        <v>395</v>
      </c>
      <c r="AL98" s="85">
        <f t="shared" si="65"/>
        <v>0.1</v>
      </c>
      <c r="AM98" s="85">
        <f t="shared" si="66"/>
        <v>0.15</v>
      </c>
      <c r="AN98" s="85">
        <f>0.5*0.2</f>
        <v>0.1</v>
      </c>
      <c r="AO98" s="87">
        <f>0.5*0.3</f>
        <v>0.15</v>
      </c>
      <c r="AP98" s="16" t="s">
        <v>395</v>
      </c>
      <c r="AQ98" s="87">
        <f>0.5*0.2</f>
        <v>0.1</v>
      </c>
      <c r="AR98" s="87">
        <f>0.5*0.1</f>
        <v>0.05</v>
      </c>
      <c r="AS98" s="87">
        <f>0.5*0.51</f>
        <v>0.255</v>
      </c>
      <c r="AT98" s="87">
        <f>0.5*0.51</f>
        <v>0.255</v>
      </c>
      <c r="AU98" s="87">
        <f>0.5*0.51</f>
        <v>0.255</v>
      </c>
      <c r="AV98" s="87">
        <f>0.5*0.1</f>
        <v>0.05</v>
      </c>
      <c r="AW98" s="85">
        <f t="shared" si="69"/>
        <v>0.15</v>
      </c>
      <c r="AX98" s="85" t="s">
        <v>395</v>
      </c>
      <c r="AY98" s="85" t="s">
        <v>395</v>
      </c>
      <c r="AZ98" s="85" t="s">
        <v>395</v>
      </c>
      <c r="BA98" s="85" t="s">
        <v>395</v>
      </c>
      <c r="BB98" s="85" t="s">
        <v>395</v>
      </c>
      <c r="BC98" s="5" t="s">
        <v>395</v>
      </c>
      <c r="BD98" s="5" t="s">
        <v>395</v>
      </c>
      <c r="BE98" s="5" t="s">
        <v>395</v>
      </c>
      <c r="BF98" s="5" t="s">
        <v>395</v>
      </c>
      <c r="BG98" s="5" t="s">
        <v>395</v>
      </c>
      <c r="BH98" s="5" t="s">
        <v>395</v>
      </c>
      <c r="BI98" s="5" t="s">
        <v>395</v>
      </c>
      <c r="BJ98" s="5" t="s">
        <v>395</v>
      </c>
      <c r="BK98" s="5" t="s">
        <v>395</v>
      </c>
      <c r="BL98" s="5" t="s">
        <v>395</v>
      </c>
      <c r="BM98" s="5" t="s">
        <v>395</v>
      </c>
      <c r="BN98" s="5" t="s">
        <v>395</v>
      </c>
      <c r="BO98" s="57" t="s">
        <v>395</v>
      </c>
      <c r="BP98" s="57" t="s">
        <v>395</v>
      </c>
      <c r="BQ98" s="57" t="s">
        <v>395</v>
      </c>
      <c r="BR98" s="57" t="s">
        <v>395</v>
      </c>
      <c r="BS98" s="57" t="s">
        <v>395</v>
      </c>
      <c r="BT98" s="57" t="s">
        <v>395</v>
      </c>
      <c r="BU98" s="57" t="s">
        <v>395</v>
      </c>
      <c r="BV98" s="57" t="s">
        <v>395</v>
      </c>
      <c r="BW98" s="57" t="s">
        <v>395</v>
      </c>
      <c r="BX98" s="57" t="s">
        <v>395</v>
      </c>
      <c r="BY98" s="57" t="s">
        <v>395</v>
      </c>
      <c r="BZ98" s="57" t="s">
        <v>395</v>
      </c>
      <c r="CA98" s="57" t="s">
        <v>395</v>
      </c>
      <c r="CB98" s="57" t="s">
        <v>395</v>
      </c>
      <c r="CC98" s="57" t="s">
        <v>395</v>
      </c>
      <c r="CD98" s="57" t="s">
        <v>395</v>
      </c>
      <c r="CE98" s="57" t="s">
        <v>395</v>
      </c>
      <c r="CF98" s="57" t="s">
        <v>395</v>
      </c>
      <c r="CG98" s="57" t="s">
        <v>395</v>
      </c>
      <c r="CH98" s="16" t="s">
        <v>395</v>
      </c>
      <c r="CI98" s="16" t="s">
        <v>395</v>
      </c>
      <c r="CJ98" s="16" t="s">
        <v>395</v>
      </c>
      <c r="CK98" s="16" t="s">
        <v>395</v>
      </c>
      <c r="CL98" s="16" t="s">
        <v>395</v>
      </c>
      <c r="CM98" s="16" t="s">
        <v>395</v>
      </c>
      <c r="CN98" s="16" t="s">
        <v>395</v>
      </c>
      <c r="CO98" s="16" t="s">
        <v>395</v>
      </c>
      <c r="CP98" s="16" t="s">
        <v>395</v>
      </c>
      <c r="CQ98" s="16" t="s">
        <v>395</v>
      </c>
      <c r="CR98" s="16" t="s">
        <v>395</v>
      </c>
      <c r="CS98" s="16" t="s">
        <v>395</v>
      </c>
      <c r="CT98" s="16" t="s">
        <v>395</v>
      </c>
      <c r="CU98" s="16" t="s">
        <v>395</v>
      </c>
      <c r="CV98" s="16" t="s">
        <v>395</v>
      </c>
      <c r="CW98" s="16" t="s">
        <v>395</v>
      </c>
      <c r="CX98" s="16" t="s">
        <v>395</v>
      </c>
      <c r="CY98" s="97" t="s">
        <v>395</v>
      </c>
    </row>
    <row r="99" spans="1:103" x14ac:dyDescent="0.3">
      <c r="A99" s="26" t="s">
        <v>32</v>
      </c>
      <c r="B99" s="14" t="s">
        <v>32</v>
      </c>
      <c r="C99" s="14" t="s">
        <v>31</v>
      </c>
      <c r="G99" s="16" t="s">
        <v>31</v>
      </c>
      <c r="H99" s="16">
        <v>2019</v>
      </c>
      <c r="I99" s="121" t="s">
        <v>3</v>
      </c>
      <c r="J99" s="121" t="s">
        <v>394</v>
      </c>
      <c r="K99" s="251" t="s">
        <v>395</v>
      </c>
      <c r="L99" s="5" t="s">
        <v>395</v>
      </c>
      <c r="M99" s="5">
        <v>1.4999999999999999E-2</v>
      </c>
      <c r="N99" s="5">
        <v>2.3E-2</v>
      </c>
      <c r="O99" s="5">
        <v>0.01</v>
      </c>
      <c r="P99" s="5">
        <v>0.01</v>
      </c>
      <c r="Q99" s="5">
        <v>5.0000000000000001E-3</v>
      </c>
      <c r="R99" s="5">
        <v>0.01</v>
      </c>
      <c r="S99" s="5">
        <v>5.0000000000000001E-3</v>
      </c>
      <c r="T99" s="5" t="s">
        <v>395</v>
      </c>
      <c r="U99" s="5" t="s">
        <v>395</v>
      </c>
      <c r="V99" s="5">
        <v>1.2999999999999999E-2</v>
      </c>
      <c r="W99" s="5">
        <v>0.01</v>
      </c>
      <c r="X99" s="5">
        <v>1.2999999999999999E-2</v>
      </c>
      <c r="Y99" s="5">
        <v>1.4999999999999999E-2</v>
      </c>
      <c r="Z99" s="5">
        <v>0.01</v>
      </c>
      <c r="AA99" s="5">
        <v>0.02</v>
      </c>
      <c r="AB99" s="5">
        <v>1.2999999999999999E-2</v>
      </c>
      <c r="AC99" s="5">
        <v>0.1</v>
      </c>
      <c r="AD99" s="5" t="s">
        <v>394</v>
      </c>
      <c r="AE99" s="5" t="s">
        <v>395</v>
      </c>
      <c r="AF99" s="5">
        <v>0.01</v>
      </c>
      <c r="AG99" s="250" t="s">
        <v>395</v>
      </c>
      <c r="AH99" s="250">
        <v>0.2</v>
      </c>
      <c r="AI99" s="5">
        <v>0.2</v>
      </c>
      <c r="AJ99" s="5">
        <v>0.2</v>
      </c>
      <c r="AK99" s="5">
        <v>0.02</v>
      </c>
      <c r="AL99" s="5">
        <v>0.1</v>
      </c>
      <c r="AM99" s="5">
        <v>0.1</v>
      </c>
      <c r="AN99" s="5">
        <v>0.1</v>
      </c>
      <c r="AO99" s="5">
        <v>0.02</v>
      </c>
      <c r="AP99" s="5">
        <v>0.05</v>
      </c>
      <c r="AQ99" s="5">
        <v>0.1</v>
      </c>
      <c r="AR99" s="5">
        <v>0.05</v>
      </c>
      <c r="AS99" s="5" t="s">
        <v>395</v>
      </c>
      <c r="AT99" s="5" t="s">
        <v>395</v>
      </c>
      <c r="AU99" s="5" t="s">
        <v>395</v>
      </c>
      <c r="AV99" s="5" t="s">
        <v>395</v>
      </c>
      <c r="AW99" s="5" t="s">
        <v>395</v>
      </c>
      <c r="AX99" s="5" t="s">
        <v>395</v>
      </c>
      <c r="AY99" s="5" t="s">
        <v>395</v>
      </c>
      <c r="AZ99" s="5" t="s">
        <v>395</v>
      </c>
      <c r="BA99" s="5" t="s">
        <v>395</v>
      </c>
      <c r="BB99" s="5" t="s">
        <v>395</v>
      </c>
      <c r="BC99" s="5">
        <v>0.2</v>
      </c>
      <c r="BD99" s="5">
        <v>0.2</v>
      </c>
      <c r="BE99" s="5">
        <v>0.21</v>
      </c>
      <c r="BF99" s="5">
        <v>0.02</v>
      </c>
      <c r="BG99" s="5">
        <v>0.2</v>
      </c>
      <c r="BH99" s="5">
        <v>0.05</v>
      </c>
      <c r="BI99" s="5">
        <v>0.1</v>
      </c>
      <c r="BJ99" s="5">
        <v>0.1</v>
      </c>
      <c r="BK99" s="5">
        <v>0.05</v>
      </c>
      <c r="BL99" s="5">
        <v>0.1</v>
      </c>
      <c r="BM99" s="5">
        <v>0.05</v>
      </c>
      <c r="BN99" s="5">
        <v>0.03</v>
      </c>
      <c r="BO99" s="5">
        <v>0.04</v>
      </c>
      <c r="BP99" s="5">
        <v>0.4</v>
      </c>
      <c r="BQ99" s="5">
        <v>0.1</v>
      </c>
      <c r="BR99" s="5">
        <v>2.2999999999999998</v>
      </c>
      <c r="BS99" s="5">
        <v>0.2</v>
      </c>
      <c r="BT99" s="5">
        <v>1.7</v>
      </c>
      <c r="BU99" s="5">
        <v>2.5</v>
      </c>
      <c r="BV99" s="5">
        <v>0.2</v>
      </c>
      <c r="BW99" s="5">
        <v>0.2</v>
      </c>
      <c r="BX99" s="5">
        <v>0.2</v>
      </c>
      <c r="BY99" s="5">
        <v>0.2</v>
      </c>
      <c r="BZ99" s="5">
        <v>0.2</v>
      </c>
      <c r="CA99" s="5">
        <v>0.2</v>
      </c>
      <c r="CB99" s="5">
        <v>0.2</v>
      </c>
      <c r="CC99" s="5">
        <v>0.2</v>
      </c>
      <c r="CD99" s="5">
        <v>0.5</v>
      </c>
      <c r="CE99" s="5">
        <v>0.2</v>
      </c>
      <c r="CF99" s="5">
        <v>0.2</v>
      </c>
      <c r="CG99" s="5">
        <v>0.2</v>
      </c>
      <c r="CH99" s="5">
        <v>0.2</v>
      </c>
      <c r="CI99" s="16" t="s">
        <v>395</v>
      </c>
      <c r="CJ99" s="16" t="s">
        <v>395</v>
      </c>
      <c r="CK99" s="16" t="s">
        <v>395</v>
      </c>
      <c r="CL99" s="16" t="s">
        <v>395</v>
      </c>
      <c r="CM99" s="16" t="s">
        <v>395</v>
      </c>
      <c r="CN99" s="16" t="s">
        <v>395</v>
      </c>
      <c r="CO99" s="16" t="s">
        <v>395</v>
      </c>
      <c r="CP99" s="16" t="s">
        <v>395</v>
      </c>
      <c r="CQ99" s="16" t="s">
        <v>395</v>
      </c>
      <c r="CR99" s="16" t="s">
        <v>395</v>
      </c>
      <c r="CS99" s="16" t="s">
        <v>395</v>
      </c>
      <c r="CT99" s="16" t="s">
        <v>395</v>
      </c>
      <c r="CU99" s="16" t="s">
        <v>395</v>
      </c>
      <c r="CV99" s="16" t="s">
        <v>395</v>
      </c>
      <c r="CW99" s="16" t="s">
        <v>395</v>
      </c>
      <c r="CX99" s="16" t="s">
        <v>395</v>
      </c>
      <c r="CY99" s="97" t="s">
        <v>395</v>
      </c>
    </row>
    <row r="100" spans="1:103" x14ac:dyDescent="0.3">
      <c r="A100" s="26" t="s">
        <v>4</v>
      </c>
      <c r="B100" s="14" t="s">
        <v>4</v>
      </c>
      <c r="C100" s="14" t="s">
        <v>20</v>
      </c>
      <c r="G100" s="22">
        <v>43686</v>
      </c>
      <c r="H100" s="16">
        <v>2019</v>
      </c>
      <c r="I100" s="121" t="s">
        <v>33</v>
      </c>
      <c r="J100" s="121">
        <v>10</v>
      </c>
      <c r="K100" s="251">
        <v>0.83021199366720599</v>
      </c>
      <c r="L100" s="5" t="s">
        <v>395</v>
      </c>
      <c r="M100" s="5">
        <v>0.22497125335377538</v>
      </c>
      <c r="N100" s="5">
        <v>0.60348792640858562</v>
      </c>
      <c r="O100" s="5">
        <v>2.3395362207742432</v>
      </c>
      <c r="P100" s="5">
        <v>2.2395458029896513</v>
      </c>
      <c r="Q100" s="5">
        <v>4.890216558068226</v>
      </c>
      <c r="R100" s="5">
        <v>4.691452663855884</v>
      </c>
      <c r="S100" s="5">
        <v>1.4649961671138367</v>
      </c>
      <c r="T100" s="5">
        <v>16.454206592564201</v>
      </c>
      <c r="U100" s="5">
        <f t="shared" si="56"/>
        <v>85.608621038981028</v>
      </c>
      <c r="V100" s="5">
        <f t="shared" ref="V100:V122" si="72">0.5*0.013</f>
        <v>6.4999999999999997E-3</v>
      </c>
      <c r="W100" s="5">
        <v>0.18322506491193266</v>
      </c>
      <c r="X100" s="5">
        <v>4.4396591060852995E-2</v>
      </c>
      <c r="Y100" s="5">
        <v>0.14642286984086617</v>
      </c>
      <c r="Z100" s="5">
        <f t="shared" ref="Z100:Z108" si="73">0.5*0.01</f>
        <v>5.0000000000000001E-3</v>
      </c>
      <c r="AA100" s="5">
        <f t="shared" ref="AA100:AA106" si="74">0.5*0.02</f>
        <v>0.01</v>
      </c>
      <c r="AB100" s="5">
        <v>2.6063594316000794E-2</v>
      </c>
      <c r="AC100" s="5">
        <f t="shared" ref="AC100:AC117" si="75">0.5*0.1</f>
        <v>0.05</v>
      </c>
      <c r="AD100" s="5">
        <v>0.40010812012965263</v>
      </c>
      <c r="AE100" s="5">
        <f>SUM(V100,W100,Y100,X100,AB100,AA100)</f>
        <v>0.41660812012965259</v>
      </c>
      <c r="AF100" s="5">
        <f>0.5*0.01</f>
        <v>5.0000000000000001E-3</v>
      </c>
      <c r="AG100" s="250" t="s">
        <v>395</v>
      </c>
      <c r="AH100" s="250">
        <v>10.804367457515804</v>
      </c>
      <c r="AI100" s="5">
        <f t="shared" ref="AI100:AI122" si="76">0.5*0.2</f>
        <v>0.1</v>
      </c>
      <c r="AJ100" s="5">
        <f t="shared" ref="AJ100:AJ122" si="77">0.5*0.1</f>
        <v>0.05</v>
      </c>
      <c r="AK100" s="5">
        <f t="shared" ref="AK100:AL122" si="78">0.5*0.2</f>
        <v>0.1</v>
      </c>
      <c r="AL100" s="5">
        <f t="shared" si="78"/>
        <v>0.1</v>
      </c>
      <c r="AM100" s="5">
        <f t="shared" ref="AM100:AM122" si="79">0.5*0.3</f>
        <v>0.15</v>
      </c>
      <c r="AN100" s="5">
        <v>0.95706428043674574</v>
      </c>
      <c r="AO100" s="5">
        <f>0.5*0.3</f>
        <v>0.15</v>
      </c>
      <c r="AP100" s="5">
        <f t="shared" ref="AP100:AP122" si="80">0.5*0.2</f>
        <v>0.1</v>
      </c>
      <c r="AQ100" s="5">
        <v>0.59111184084503188</v>
      </c>
      <c r="AR100" s="5">
        <f t="shared" ref="AR100:AR108" si="81">0.5*0.1</f>
        <v>0.05</v>
      </c>
      <c r="AS100" s="5" t="s">
        <v>395</v>
      </c>
      <c r="AT100" s="5" t="s">
        <v>395</v>
      </c>
      <c r="AU100" s="5" t="s">
        <v>395</v>
      </c>
      <c r="AV100" s="5" t="s">
        <v>395</v>
      </c>
      <c r="AW100" s="5" t="s">
        <v>395</v>
      </c>
      <c r="AX100" s="5" t="s">
        <v>395</v>
      </c>
      <c r="AY100" s="5" t="s">
        <v>395</v>
      </c>
      <c r="AZ100" s="5" t="s">
        <v>395</v>
      </c>
      <c r="BA100" s="5" t="s">
        <v>395</v>
      </c>
      <c r="BB100" s="5" t="s">
        <v>395</v>
      </c>
      <c r="BC100" s="5" t="s">
        <v>395</v>
      </c>
      <c r="BD100" s="5" t="s">
        <v>395</v>
      </c>
      <c r="BE100" s="5" t="s">
        <v>395</v>
      </c>
      <c r="BF100" s="5" t="s">
        <v>395</v>
      </c>
      <c r="BG100" s="5" t="s">
        <v>395</v>
      </c>
      <c r="BH100" s="5" t="s">
        <v>395</v>
      </c>
      <c r="BI100" s="5" t="s">
        <v>395</v>
      </c>
      <c r="BJ100" s="5" t="s">
        <v>395</v>
      </c>
      <c r="BK100" s="5" t="s">
        <v>395</v>
      </c>
      <c r="BL100" s="5" t="s">
        <v>395</v>
      </c>
      <c r="BM100" s="5" t="s">
        <v>395</v>
      </c>
      <c r="BN100" s="5">
        <v>130</v>
      </c>
      <c r="BO100" s="5" t="s">
        <v>395</v>
      </c>
      <c r="BP100" s="5" t="s">
        <v>395</v>
      </c>
      <c r="BQ100" s="5" t="s">
        <v>395</v>
      </c>
      <c r="BR100" s="5" t="s">
        <v>395</v>
      </c>
      <c r="BS100" s="5" t="s">
        <v>395</v>
      </c>
      <c r="BT100" s="5" t="s">
        <v>395</v>
      </c>
      <c r="BU100" s="5" t="s">
        <v>395</v>
      </c>
      <c r="BV100" s="5" t="s">
        <v>395</v>
      </c>
      <c r="BW100" s="5" t="s">
        <v>395</v>
      </c>
      <c r="BX100" s="5" t="s">
        <v>395</v>
      </c>
      <c r="BY100" s="5" t="s">
        <v>395</v>
      </c>
      <c r="BZ100" s="5" t="s">
        <v>395</v>
      </c>
      <c r="CA100" s="5" t="s">
        <v>395</v>
      </c>
      <c r="CB100" s="5" t="s">
        <v>395</v>
      </c>
      <c r="CC100" s="5" t="s">
        <v>395</v>
      </c>
      <c r="CD100" s="5" t="s">
        <v>395</v>
      </c>
      <c r="CE100" s="5" t="s">
        <v>395</v>
      </c>
      <c r="CF100" s="5" t="s">
        <v>395</v>
      </c>
      <c r="CG100" s="5" t="s">
        <v>395</v>
      </c>
      <c r="CH100" s="5" t="s">
        <v>395</v>
      </c>
      <c r="CI100" s="16" t="s">
        <v>395</v>
      </c>
      <c r="CJ100" s="16" t="s">
        <v>395</v>
      </c>
      <c r="CK100" s="16" t="s">
        <v>395</v>
      </c>
      <c r="CL100" s="16" t="s">
        <v>395</v>
      </c>
      <c r="CM100" s="16" t="s">
        <v>395</v>
      </c>
      <c r="CN100" s="16" t="s">
        <v>395</v>
      </c>
      <c r="CO100" s="16" t="s">
        <v>395</v>
      </c>
      <c r="CP100" s="16" t="s">
        <v>395</v>
      </c>
      <c r="CQ100" s="16" t="s">
        <v>395</v>
      </c>
      <c r="CR100" s="16" t="s">
        <v>395</v>
      </c>
      <c r="CS100" s="16" t="s">
        <v>395</v>
      </c>
      <c r="CT100" s="16" t="s">
        <v>395</v>
      </c>
      <c r="CU100" s="16" t="s">
        <v>395</v>
      </c>
      <c r="CV100" s="16" t="s">
        <v>395</v>
      </c>
      <c r="CW100" s="16" t="s">
        <v>395</v>
      </c>
      <c r="CX100" s="16" t="s">
        <v>395</v>
      </c>
      <c r="CY100" s="97" t="s">
        <v>395</v>
      </c>
    </row>
    <row r="101" spans="1:103" x14ac:dyDescent="0.3">
      <c r="A101" s="26" t="s">
        <v>79</v>
      </c>
      <c r="B101" s="14" t="s">
        <v>79</v>
      </c>
      <c r="C101" s="14" t="s">
        <v>20</v>
      </c>
      <c r="G101" s="22">
        <v>43686</v>
      </c>
      <c r="H101" s="16">
        <v>2019</v>
      </c>
      <c r="I101" s="121" t="s">
        <v>33</v>
      </c>
      <c r="J101" s="121">
        <v>10</v>
      </c>
      <c r="K101" s="251">
        <v>0.39822331138003603</v>
      </c>
      <c r="L101" s="5" t="s">
        <v>395</v>
      </c>
      <c r="M101" s="5">
        <v>0.29939006099390064</v>
      </c>
      <c r="N101" s="5">
        <v>0.81861813818618134</v>
      </c>
      <c r="O101" s="5">
        <v>3.2868413158684131</v>
      </c>
      <c r="P101" s="5">
        <v>2.5366363363663633</v>
      </c>
      <c r="Q101" s="5">
        <v>5.7010198980101991</v>
      </c>
      <c r="R101" s="5">
        <v>5.0114988501149886</v>
      </c>
      <c r="S101" s="5">
        <v>1.8338466153384663</v>
      </c>
      <c r="T101" s="5">
        <v>19.487851214878514</v>
      </c>
      <c r="U101" s="5">
        <f t="shared" si="56"/>
        <v>212.83554219575956</v>
      </c>
      <c r="V101" s="5">
        <f t="shared" si="72"/>
        <v>6.4999999999999997E-3</v>
      </c>
      <c r="W101" s="5">
        <v>0.11255435827323754</v>
      </c>
      <c r="X101" s="5">
        <f>0.5*0.013</f>
        <v>6.4999999999999997E-3</v>
      </c>
      <c r="Y101" s="5">
        <v>2.1196652857728832E-2</v>
      </c>
      <c r="Z101" s="5">
        <f t="shared" si="73"/>
        <v>5.0000000000000001E-3</v>
      </c>
      <c r="AA101" s="5">
        <f t="shared" si="74"/>
        <v>0.01</v>
      </c>
      <c r="AB101" s="5">
        <v>4.5162868376585445E-2</v>
      </c>
      <c r="AC101" s="5">
        <f t="shared" si="75"/>
        <v>0.05</v>
      </c>
      <c r="AD101" s="5">
        <v>0.17891387950755183</v>
      </c>
      <c r="AE101" s="5">
        <f t="shared" ref="AE101:AE122" si="82">SUM(V101,W101,Y101,X101,AB101,AA101)</f>
        <v>0.20191387950755185</v>
      </c>
      <c r="AF101" s="5">
        <f>0.5*0.01</f>
        <v>5.0000000000000001E-3</v>
      </c>
      <c r="AG101" s="250" t="s">
        <v>395</v>
      </c>
      <c r="AH101" s="250">
        <v>5.7153647386205524</v>
      </c>
      <c r="AI101" s="5">
        <f t="shared" si="76"/>
        <v>0.1</v>
      </c>
      <c r="AJ101" s="5">
        <f t="shared" si="77"/>
        <v>0.05</v>
      </c>
      <c r="AK101" s="5">
        <f t="shared" si="78"/>
        <v>0.1</v>
      </c>
      <c r="AL101" s="5">
        <f t="shared" si="78"/>
        <v>0.1</v>
      </c>
      <c r="AM101" s="5">
        <f t="shared" si="79"/>
        <v>0.15</v>
      </c>
      <c r="AN101" s="5">
        <v>0.44404690916318829</v>
      </c>
      <c r="AO101" s="5">
        <f>0.5*0.3</f>
        <v>0.15</v>
      </c>
      <c r="AP101" s="5">
        <f t="shared" si="80"/>
        <v>0.1</v>
      </c>
      <c r="AQ101" s="5">
        <v>0.30116610349168493</v>
      </c>
      <c r="AR101" s="5">
        <f t="shared" si="81"/>
        <v>0.05</v>
      </c>
      <c r="AS101" s="5" t="s">
        <v>395</v>
      </c>
      <c r="AT101" s="5" t="s">
        <v>395</v>
      </c>
      <c r="AU101" s="5" t="s">
        <v>395</v>
      </c>
      <c r="AV101" s="5" t="s">
        <v>395</v>
      </c>
      <c r="AW101" s="5" t="s">
        <v>395</v>
      </c>
      <c r="AX101" s="5" t="s">
        <v>395</v>
      </c>
      <c r="AY101" s="5" t="s">
        <v>395</v>
      </c>
      <c r="AZ101" s="5" t="s">
        <v>395</v>
      </c>
      <c r="BA101" s="5" t="s">
        <v>395</v>
      </c>
      <c r="BB101" s="5" t="s">
        <v>395</v>
      </c>
      <c r="BC101" s="5" t="s">
        <v>395</v>
      </c>
      <c r="BD101" s="5" t="s">
        <v>395</v>
      </c>
      <c r="BE101" s="5" t="s">
        <v>395</v>
      </c>
      <c r="BF101" s="5" t="s">
        <v>395</v>
      </c>
      <c r="BG101" s="5" t="s">
        <v>395</v>
      </c>
      <c r="BH101" s="5" t="s">
        <v>395</v>
      </c>
      <c r="BI101" s="5" t="s">
        <v>395</v>
      </c>
      <c r="BJ101" s="5" t="s">
        <v>395</v>
      </c>
      <c r="BK101" s="5" t="s">
        <v>395</v>
      </c>
      <c r="BL101" s="5" t="s">
        <v>395</v>
      </c>
      <c r="BM101" s="5" t="s">
        <v>395</v>
      </c>
      <c r="BN101" s="5">
        <v>100</v>
      </c>
      <c r="BO101" s="5" t="s">
        <v>395</v>
      </c>
      <c r="BP101" s="5" t="s">
        <v>395</v>
      </c>
      <c r="BQ101" s="5" t="s">
        <v>395</v>
      </c>
      <c r="BR101" s="5" t="s">
        <v>395</v>
      </c>
      <c r="BS101" s="5" t="s">
        <v>395</v>
      </c>
      <c r="BT101" s="5" t="s">
        <v>395</v>
      </c>
      <c r="BU101" s="5" t="s">
        <v>395</v>
      </c>
      <c r="BV101" s="5" t="s">
        <v>395</v>
      </c>
      <c r="BW101" s="5" t="s">
        <v>395</v>
      </c>
      <c r="BX101" s="5" t="s">
        <v>395</v>
      </c>
      <c r="BY101" s="5" t="s">
        <v>395</v>
      </c>
      <c r="BZ101" s="5" t="s">
        <v>395</v>
      </c>
      <c r="CA101" s="5" t="s">
        <v>395</v>
      </c>
      <c r="CB101" s="5" t="s">
        <v>395</v>
      </c>
      <c r="CC101" s="5" t="s">
        <v>395</v>
      </c>
      <c r="CD101" s="5" t="s">
        <v>395</v>
      </c>
      <c r="CE101" s="5" t="s">
        <v>395</v>
      </c>
      <c r="CF101" s="5" t="s">
        <v>395</v>
      </c>
      <c r="CG101" s="5" t="s">
        <v>395</v>
      </c>
      <c r="CH101" s="5" t="s">
        <v>395</v>
      </c>
      <c r="CI101" s="5" t="s">
        <v>395</v>
      </c>
      <c r="CJ101" s="5" t="s">
        <v>395</v>
      </c>
      <c r="CK101" s="5" t="s">
        <v>395</v>
      </c>
      <c r="CL101" s="5" t="s">
        <v>395</v>
      </c>
      <c r="CM101" s="5" t="s">
        <v>395</v>
      </c>
      <c r="CN101" s="5" t="s">
        <v>395</v>
      </c>
      <c r="CO101" s="5" t="s">
        <v>395</v>
      </c>
      <c r="CP101" s="5" t="s">
        <v>395</v>
      </c>
      <c r="CQ101" s="5" t="s">
        <v>395</v>
      </c>
      <c r="CR101" s="5" t="s">
        <v>395</v>
      </c>
      <c r="CS101" s="5" t="s">
        <v>395</v>
      </c>
      <c r="CT101" s="5" t="s">
        <v>395</v>
      </c>
      <c r="CU101" s="5" t="s">
        <v>395</v>
      </c>
      <c r="CV101" s="5" t="s">
        <v>395</v>
      </c>
      <c r="CW101" s="5" t="s">
        <v>395</v>
      </c>
      <c r="CX101" s="5" t="s">
        <v>395</v>
      </c>
      <c r="CY101" s="252" t="s">
        <v>395</v>
      </c>
    </row>
    <row r="102" spans="1:103" x14ac:dyDescent="0.3">
      <c r="A102" s="26" t="s">
        <v>112</v>
      </c>
      <c r="B102" s="14" t="s">
        <v>24</v>
      </c>
      <c r="C102" s="14" t="s">
        <v>20</v>
      </c>
      <c r="G102" s="22">
        <v>43685</v>
      </c>
      <c r="H102" s="16">
        <v>2019</v>
      </c>
      <c r="I102" s="121" t="s">
        <v>33</v>
      </c>
      <c r="J102" s="121">
        <v>10</v>
      </c>
      <c r="K102" s="251">
        <v>0.44901881074688993</v>
      </c>
      <c r="L102" s="5" t="s">
        <v>395</v>
      </c>
      <c r="M102" s="5">
        <v>0.10026748184944594</v>
      </c>
      <c r="N102" s="5">
        <v>0.79701948796331668</v>
      </c>
      <c r="O102" s="5">
        <v>2.4854508979747805</v>
      </c>
      <c r="P102" s="5">
        <v>1.0611004967520061</v>
      </c>
      <c r="Q102" s="5">
        <v>4.2180550248376001</v>
      </c>
      <c r="R102" s="5">
        <v>2.264807030951471</v>
      </c>
      <c r="S102" s="5">
        <v>1.3653515475735576</v>
      </c>
      <c r="T102" s="5">
        <v>12.292051967902175</v>
      </c>
      <c r="U102" s="5">
        <f t="shared" si="56"/>
        <v>125.0610353324486</v>
      </c>
      <c r="V102" s="5">
        <f t="shared" si="72"/>
        <v>6.4999999999999997E-3</v>
      </c>
      <c r="W102" s="5">
        <v>7.3880672388570948E-2</v>
      </c>
      <c r="X102" s="5">
        <f>0.5*0.013</f>
        <v>6.4999999999999997E-3</v>
      </c>
      <c r="Y102" s="5">
        <v>2.7128343796613136E-2</v>
      </c>
      <c r="Z102" s="5">
        <f t="shared" si="73"/>
        <v>5.0000000000000001E-3</v>
      </c>
      <c r="AA102" s="5">
        <f t="shared" si="74"/>
        <v>0.01</v>
      </c>
      <c r="AB102" s="5">
        <f>0.5*0.013</f>
        <v>6.4999999999999997E-3</v>
      </c>
      <c r="AC102" s="5">
        <f t="shared" si="75"/>
        <v>0.05</v>
      </c>
      <c r="AD102" s="5">
        <v>0.10100901618518408</v>
      </c>
      <c r="AE102" s="5">
        <f t="shared" si="82"/>
        <v>0.1305090161851841</v>
      </c>
      <c r="AF102" s="5">
        <v>9.6484524264424925E-3</v>
      </c>
      <c r="AG102" s="250">
        <f>AF102*(5/K102)</f>
        <v>0.1074392897971627</v>
      </c>
      <c r="AH102" s="250">
        <v>3.3044948136765266</v>
      </c>
      <c r="AI102" s="5">
        <f t="shared" si="76"/>
        <v>0.1</v>
      </c>
      <c r="AJ102" s="5">
        <f t="shared" si="77"/>
        <v>0.05</v>
      </c>
      <c r="AK102" s="5">
        <f t="shared" si="78"/>
        <v>0.1</v>
      </c>
      <c r="AL102" s="5">
        <f t="shared" si="78"/>
        <v>0.1</v>
      </c>
      <c r="AM102" s="5">
        <f t="shared" si="79"/>
        <v>0.15</v>
      </c>
      <c r="AN102" s="5">
        <v>0.34560122935074916</v>
      </c>
      <c r="AO102" s="5">
        <f>0.5*0.3</f>
        <v>0.15</v>
      </c>
      <c r="AP102" s="5">
        <f t="shared" si="80"/>
        <v>0.1</v>
      </c>
      <c r="AQ102" s="5">
        <v>0.22130874631835062</v>
      </c>
      <c r="AR102" s="5">
        <f t="shared" si="81"/>
        <v>0.05</v>
      </c>
      <c r="AS102" s="5" t="s">
        <v>395</v>
      </c>
      <c r="AT102" s="5" t="s">
        <v>395</v>
      </c>
      <c r="AU102" s="5" t="s">
        <v>395</v>
      </c>
      <c r="AV102" s="5" t="s">
        <v>395</v>
      </c>
      <c r="AW102" s="5" t="s">
        <v>395</v>
      </c>
      <c r="AX102" s="5" t="s">
        <v>395</v>
      </c>
      <c r="AY102" s="5" t="s">
        <v>395</v>
      </c>
      <c r="AZ102" s="5" t="s">
        <v>395</v>
      </c>
      <c r="BA102" s="5" t="s">
        <v>395</v>
      </c>
      <c r="BB102" s="5" t="s">
        <v>395</v>
      </c>
      <c r="BC102" s="5" t="s">
        <v>395</v>
      </c>
      <c r="BD102" s="5" t="s">
        <v>395</v>
      </c>
      <c r="BE102" s="5" t="s">
        <v>395</v>
      </c>
      <c r="BF102" s="5" t="s">
        <v>395</v>
      </c>
      <c r="BG102" s="5" t="s">
        <v>395</v>
      </c>
      <c r="BH102" s="5" t="s">
        <v>395</v>
      </c>
      <c r="BI102" s="5" t="s">
        <v>395</v>
      </c>
      <c r="BJ102" s="5" t="s">
        <v>395</v>
      </c>
      <c r="BK102" s="5" t="s">
        <v>395</v>
      </c>
      <c r="BL102" s="5" t="s">
        <v>395</v>
      </c>
      <c r="BM102" s="5" t="s">
        <v>395</v>
      </c>
      <c r="BN102" s="5">
        <v>190</v>
      </c>
      <c r="BO102" s="5" t="s">
        <v>395</v>
      </c>
      <c r="BP102" s="5" t="s">
        <v>395</v>
      </c>
      <c r="BQ102" s="5" t="s">
        <v>395</v>
      </c>
      <c r="BR102" s="5" t="s">
        <v>395</v>
      </c>
      <c r="BS102" s="5" t="s">
        <v>395</v>
      </c>
      <c r="BT102" s="5" t="s">
        <v>395</v>
      </c>
      <c r="BU102" s="5" t="s">
        <v>395</v>
      </c>
      <c r="BV102" s="5" t="s">
        <v>395</v>
      </c>
      <c r="BW102" s="5" t="s">
        <v>395</v>
      </c>
      <c r="BX102" s="5" t="s">
        <v>395</v>
      </c>
      <c r="BY102" s="5" t="s">
        <v>395</v>
      </c>
      <c r="BZ102" s="5" t="s">
        <v>395</v>
      </c>
      <c r="CA102" s="5" t="s">
        <v>395</v>
      </c>
      <c r="CB102" s="5" t="s">
        <v>395</v>
      </c>
      <c r="CC102" s="5" t="s">
        <v>395</v>
      </c>
      <c r="CD102" s="5" t="s">
        <v>395</v>
      </c>
      <c r="CE102" s="5" t="s">
        <v>395</v>
      </c>
      <c r="CF102" s="5" t="s">
        <v>395</v>
      </c>
      <c r="CG102" s="5" t="s">
        <v>395</v>
      </c>
      <c r="CH102" s="5" t="s">
        <v>395</v>
      </c>
      <c r="CI102" s="5" t="s">
        <v>395</v>
      </c>
      <c r="CJ102" s="5" t="s">
        <v>395</v>
      </c>
      <c r="CK102" s="5" t="s">
        <v>395</v>
      </c>
      <c r="CL102" s="5" t="s">
        <v>395</v>
      </c>
      <c r="CM102" s="5" t="s">
        <v>395</v>
      </c>
      <c r="CN102" s="5" t="s">
        <v>395</v>
      </c>
      <c r="CO102" s="5" t="s">
        <v>395</v>
      </c>
      <c r="CP102" s="5" t="s">
        <v>395</v>
      </c>
      <c r="CQ102" s="5" t="s">
        <v>395</v>
      </c>
      <c r="CR102" s="5" t="s">
        <v>395</v>
      </c>
      <c r="CS102" s="5" t="s">
        <v>395</v>
      </c>
      <c r="CT102" s="5" t="s">
        <v>395</v>
      </c>
      <c r="CU102" s="5" t="s">
        <v>395</v>
      </c>
      <c r="CV102" s="5" t="s">
        <v>395</v>
      </c>
      <c r="CW102" s="5" t="s">
        <v>395</v>
      </c>
      <c r="CX102" s="5" t="s">
        <v>395</v>
      </c>
      <c r="CY102" s="252" t="s">
        <v>395</v>
      </c>
    </row>
    <row r="103" spans="1:103" x14ac:dyDescent="0.3">
      <c r="A103" s="26" t="s">
        <v>21</v>
      </c>
      <c r="B103" s="14" t="s">
        <v>21</v>
      </c>
      <c r="C103" s="14" t="s">
        <v>20</v>
      </c>
      <c r="G103" s="22">
        <v>43683</v>
      </c>
      <c r="H103" s="16">
        <v>2019</v>
      </c>
      <c r="I103" s="121" t="s">
        <v>33</v>
      </c>
      <c r="J103" s="121">
        <v>10</v>
      </c>
      <c r="K103" s="251">
        <v>0.42139323137124202</v>
      </c>
      <c r="L103" s="5" t="s">
        <v>395</v>
      </c>
      <c r="M103" s="5">
        <f>0.5*0.015</f>
        <v>7.4999999999999997E-3</v>
      </c>
      <c r="N103" s="5">
        <v>5.2946111330438216E-2</v>
      </c>
      <c r="O103" s="5">
        <v>0.34262238452427951</v>
      </c>
      <c r="P103" s="5">
        <v>0.28961705487564149</v>
      </c>
      <c r="Q103" s="5">
        <v>1.2236971969996053</v>
      </c>
      <c r="R103" s="5">
        <v>1.0693347808922229</v>
      </c>
      <c r="S103" s="5">
        <v>0.4278819581523885</v>
      </c>
      <c r="T103" s="5">
        <v>3.4060994867745764</v>
      </c>
      <c r="U103" s="5">
        <f t="shared" si="56"/>
        <v>37.067306725991834</v>
      </c>
      <c r="V103" s="5">
        <f t="shared" si="72"/>
        <v>6.4999999999999997E-3</v>
      </c>
      <c r="W103" s="5">
        <v>7.6371243932805144E-2</v>
      </c>
      <c r="X103" s="5">
        <f>0.5*0.013</f>
        <v>6.4999999999999997E-3</v>
      </c>
      <c r="Y103" s="5">
        <v>3.8112142408476872E-2</v>
      </c>
      <c r="Z103" s="5">
        <f t="shared" si="73"/>
        <v>5.0000000000000001E-3</v>
      </c>
      <c r="AA103" s="5">
        <f t="shared" si="74"/>
        <v>0.01</v>
      </c>
      <c r="AB103" s="5">
        <f>0.5*0.013</f>
        <v>6.4999999999999997E-3</v>
      </c>
      <c r="AC103" s="5">
        <f t="shared" si="75"/>
        <v>0.05</v>
      </c>
      <c r="AD103" s="5">
        <v>0.11448338634128202</v>
      </c>
      <c r="AE103" s="5">
        <f t="shared" si="82"/>
        <v>0.14398338634128205</v>
      </c>
      <c r="AF103" s="5">
        <f>0.5*0.01</f>
        <v>5.0000000000000001E-3</v>
      </c>
      <c r="AG103" s="250" t="s">
        <v>395</v>
      </c>
      <c r="AH103" s="250">
        <v>18.356820163271774</v>
      </c>
      <c r="AI103" s="5">
        <f t="shared" si="76"/>
        <v>0.1</v>
      </c>
      <c r="AJ103" s="5">
        <f t="shared" si="77"/>
        <v>0.05</v>
      </c>
      <c r="AK103" s="5">
        <f t="shared" si="78"/>
        <v>0.1</v>
      </c>
      <c r="AL103" s="5">
        <f t="shared" si="78"/>
        <v>0.1</v>
      </c>
      <c r="AM103" s="5">
        <f t="shared" si="79"/>
        <v>0.15</v>
      </c>
      <c r="AN103" s="5">
        <v>0.93191725449789964</v>
      </c>
      <c r="AO103" s="5">
        <v>0.41272885789014818</v>
      </c>
      <c r="AP103" s="5">
        <f t="shared" si="80"/>
        <v>0.1</v>
      </c>
      <c r="AQ103" s="5">
        <v>0.4708197934004385</v>
      </c>
      <c r="AR103" s="5">
        <f t="shared" si="81"/>
        <v>0.05</v>
      </c>
      <c r="AS103" s="5" t="s">
        <v>395</v>
      </c>
      <c r="AT103" s="5" t="s">
        <v>395</v>
      </c>
      <c r="AU103" s="5" t="s">
        <v>395</v>
      </c>
      <c r="AV103" s="5" t="s">
        <v>395</v>
      </c>
      <c r="AW103" s="5" t="s">
        <v>395</v>
      </c>
      <c r="AX103" s="5" t="s">
        <v>395</v>
      </c>
      <c r="AY103" s="5" t="s">
        <v>395</v>
      </c>
      <c r="AZ103" s="5" t="s">
        <v>395</v>
      </c>
      <c r="BA103" s="5" t="s">
        <v>395</v>
      </c>
      <c r="BB103" s="5" t="s">
        <v>395</v>
      </c>
      <c r="BC103" s="5" t="s">
        <v>395</v>
      </c>
      <c r="BD103" s="5" t="s">
        <v>395</v>
      </c>
      <c r="BE103" s="5" t="s">
        <v>395</v>
      </c>
      <c r="BF103" s="5" t="s">
        <v>395</v>
      </c>
      <c r="BG103" s="5" t="s">
        <v>395</v>
      </c>
      <c r="BH103" s="5" t="s">
        <v>395</v>
      </c>
      <c r="BI103" s="5" t="s">
        <v>395</v>
      </c>
      <c r="BJ103" s="5" t="s">
        <v>395</v>
      </c>
      <c r="BK103" s="5" t="s">
        <v>395</v>
      </c>
      <c r="BL103" s="5" t="s">
        <v>395</v>
      </c>
      <c r="BM103" s="5" t="s">
        <v>395</v>
      </c>
      <c r="BN103" s="5">
        <v>120</v>
      </c>
      <c r="BO103" s="5" t="s">
        <v>395</v>
      </c>
      <c r="BP103" s="5" t="s">
        <v>395</v>
      </c>
      <c r="BQ103" s="5" t="s">
        <v>395</v>
      </c>
      <c r="BR103" s="5" t="s">
        <v>395</v>
      </c>
      <c r="BS103" s="5" t="s">
        <v>395</v>
      </c>
      <c r="BT103" s="5" t="s">
        <v>395</v>
      </c>
      <c r="BU103" s="5" t="s">
        <v>395</v>
      </c>
      <c r="BV103" s="5" t="s">
        <v>395</v>
      </c>
      <c r="BW103" s="5" t="s">
        <v>395</v>
      </c>
      <c r="BX103" s="5" t="s">
        <v>395</v>
      </c>
      <c r="BY103" s="5" t="s">
        <v>395</v>
      </c>
      <c r="BZ103" s="5" t="s">
        <v>395</v>
      </c>
      <c r="CA103" s="5" t="s">
        <v>395</v>
      </c>
      <c r="CB103" s="5" t="s">
        <v>395</v>
      </c>
      <c r="CC103" s="5" t="s">
        <v>395</v>
      </c>
      <c r="CD103" s="5" t="s">
        <v>395</v>
      </c>
      <c r="CE103" s="5" t="s">
        <v>395</v>
      </c>
      <c r="CF103" s="5" t="s">
        <v>395</v>
      </c>
      <c r="CG103" s="5" t="s">
        <v>395</v>
      </c>
      <c r="CH103" s="5" t="s">
        <v>395</v>
      </c>
      <c r="CI103" s="5" t="s">
        <v>395</v>
      </c>
      <c r="CJ103" s="5" t="s">
        <v>395</v>
      </c>
      <c r="CK103" s="5" t="s">
        <v>395</v>
      </c>
      <c r="CL103" s="5" t="s">
        <v>395</v>
      </c>
      <c r="CM103" s="5" t="s">
        <v>395</v>
      </c>
      <c r="CN103" s="5" t="s">
        <v>395</v>
      </c>
      <c r="CO103" s="5" t="s">
        <v>395</v>
      </c>
      <c r="CP103" s="5" t="s">
        <v>395</v>
      </c>
      <c r="CQ103" s="5" t="s">
        <v>395</v>
      </c>
      <c r="CR103" s="5" t="s">
        <v>395</v>
      </c>
      <c r="CS103" s="5" t="s">
        <v>395</v>
      </c>
      <c r="CT103" s="5" t="s">
        <v>395</v>
      </c>
      <c r="CU103" s="5" t="s">
        <v>395</v>
      </c>
      <c r="CV103" s="5" t="s">
        <v>395</v>
      </c>
      <c r="CW103" s="5" t="s">
        <v>395</v>
      </c>
      <c r="CX103" s="5" t="s">
        <v>395</v>
      </c>
      <c r="CY103" s="252" t="s">
        <v>395</v>
      </c>
    </row>
    <row r="104" spans="1:103" x14ac:dyDescent="0.3">
      <c r="A104" s="26" t="s">
        <v>22</v>
      </c>
      <c r="B104" s="14" t="s">
        <v>22</v>
      </c>
      <c r="C104" s="14" t="s">
        <v>20</v>
      </c>
      <c r="G104" s="22">
        <v>43682</v>
      </c>
      <c r="H104" s="16">
        <v>2019</v>
      </c>
      <c r="I104" s="121" t="s">
        <v>33</v>
      </c>
      <c r="J104" s="121">
        <v>10</v>
      </c>
      <c r="K104" s="251">
        <v>0.42921450256481003</v>
      </c>
      <c r="L104" s="5" t="s">
        <v>395</v>
      </c>
      <c r="M104" s="5">
        <v>0.5265076414704668</v>
      </c>
      <c r="N104" s="5">
        <v>1.4337773647253202</v>
      </c>
      <c r="O104" s="5">
        <v>4.7160161090458494</v>
      </c>
      <c r="P104" s="5">
        <v>3.8272614622057004</v>
      </c>
      <c r="Q104" s="5">
        <v>9.4286555142503108</v>
      </c>
      <c r="R104" s="5">
        <v>8.7030152829409335</v>
      </c>
      <c r="S104" s="5">
        <v>3.287691036761669</v>
      </c>
      <c r="T104" s="5">
        <v>31.922924411400249</v>
      </c>
      <c r="U104" s="5">
        <f t="shared" si="56"/>
        <v>327.2916313557252</v>
      </c>
      <c r="V104" s="5">
        <f t="shared" si="72"/>
        <v>6.4999999999999997E-3</v>
      </c>
      <c r="W104" s="5">
        <v>0.23090447638088935</v>
      </c>
      <c r="X104" s="5">
        <v>5.892150149744016E-2</v>
      </c>
      <c r="Y104" s="5">
        <v>0.20270318682371069</v>
      </c>
      <c r="Z104" s="5">
        <f t="shared" si="73"/>
        <v>5.0000000000000001E-3</v>
      </c>
      <c r="AA104" s="5">
        <f t="shared" si="74"/>
        <v>0.01</v>
      </c>
      <c r="AB104" s="5">
        <v>3.752608816913406E-2</v>
      </c>
      <c r="AC104" s="5">
        <f t="shared" si="75"/>
        <v>0.05</v>
      </c>
      <c r="AD104" s="5">
        <v>0.53005525287117428</v>
      </c>
      <c r="AE104" s="5">
        <f t="shared" si="82"/>
        <v>0.54655525287117424</v>
      </c>
      <c r="AF104" s="5">
        <f>0.5*0.01</f>
        <v>5.0000000000000001E-3</v>
      </c>
      <c r="AG104" s="250" t="s">
        <v>395</v>
      </c>
      <c r="AH104" s="250">
        <v>11.539823008849558</v>
      </c>
      <c r="AI104" s="5">
        <f t="shared" si="76"/>
        <v>0.1</v>
      </c>
      <c r="AJ104" s="5">
        <f t="shared" si="77"/>
        <v>0.05</v>
      </c>
      <c r="AK104" s="5">
        <f t="shared" si="78"/>
        <v>0.1</v>
      </c>
      <c r="AL104" s="5">
        <f t="shared" si="78"/>
        <v>0.1</v>
      </c>
      <c r="AM104" s="5">
        <f t="shared" si="79"/>
        <v>0.15</v>
      </c>
      <c r="AN104" s="5">
        <v>0.61305832346177958</v>
      </c>
      <c r="AO104" s="5">
        <f>0.5*0.3</f>
        <v>0.15</v>
      </c>
      <c r="AP104" s="5">
        <f t="shared" si="80"/>
        <v>0.1</v>
      </c>
      <c r="AQ104" s="5">
        <v>0.48012914314914168</v>
      </c>
      <c r="AR104" s="5">
        <f t="shared" si="81"/>
        <v>0.05</v>
      </c>
      <c r="AS104" s="5" t="s">
        <v>395</v>
      </c>
      <c r="AT104" s="5" t="s">
        <v>395</v>
      </c>
      <c r="AU104" s="5" t="s">
        <v>395</v>
      </c>
      <c r="AV104" s="5" t="s">
        <v>395</v>
      </c>
      <c r="AW104" s="5" t="s">
        <v>395</v>
      </c>
      <c r="AX104" s="5" t="s">
        <v>395</v>
      </c>
      <c r="AY104" s="5" t="s">
        <v>395</v>
      </c>
      <c r="AZ104" s="5" t="s">
        <v>395</v>
      </c>
      <c r="BA104" s="5" t="s">
        <v>395</v>
      </c>
      <c r="BB104" s="5" t="s">
        <v>395</v>
      </c>
      <c r="BC104" s="5" t="s">
        <v>395</v>
      </c>
      <c r="BD104" s="5" t="s">
        <v>395</v>
      </c>
      <c r="BE104" s="5" t="s">
        <v>395</v>
      </c>
      <c r="BF104" s="5" t="s">
        <v>395</v>
      </c>
      <c r="BG104" s="5" t="s">
        <v>395</v>
      </c>
      <c r="BH104" s="5" t="s">
        <v>395</v>
      </c>
      <c r="BI104" s="5" t="s">
        <v>395</v>
      </c>
      <c r="BJ104" s="5" t="s">
        <v>395</v>
      </c>
      <c r="BK104" s="5" t="s">
        <v>395</v>
      </c>
      <c r="BL104" s="5" t="s">
        <v>395</v>
      </c>
      <c r="BM104" s="5" t="s">
        <v>395</v>
      </c>
      <c r="BN104" s="5">
        <v>99</v>
      </c>
      <c r="BO104" s="5" t="s">
        <v>395</v>
      </c>
      <c r="BP104" s="5" t="s">
        <v>395</v>
      </c>
      <c r="BQ104" s="5" t="s">
        <v>395</v>
      </c>
      <c r="BR104" s="5" t="s">
        <v>395</v>
      </c>
      <c r="BS104" s="5" t="s">
        <v>395</v>
      </c>
      <c r="BT104" s="5" t="s">
        <v>395</v>
      </c>
      <c r="BU104" s="5" t="s">
        <v>395</v>
      </c>
      <c r="BV104" s="5" t="s">
        <v>395</v>
      </c>
      <c r="BW104" s="5" t="s">
        <v>395</v>
      </c>
      <c r="BX104" s="5" t="s">
        <v>395</v>
      </c>
      <c r="BY104" s="5" t="s">
        <v>395</v>
      </c>
      <c r="BZ104" s="5" t="s">
        <v>395</v>
      </c>
      <c r="CA104" s="5" t="s">
        <v>395</v>
      </c>
      <c r="CB104" s="5" t="s">
        <v>395</v>
      </c>
      <c r="CC104" s="5" t="s">
        <v>395</v>
      </c>
      <c r="CD104" s="5" t="s">
        <v>395</v>
      </c>
      <c r="CE104" s="5" t="s">
        <v>395</v>
      </c>
      <c r="CF104" s="5" t="s">
        <v>395</v>
      </c>
      <c r="CG104" s="5" t="s">
        <v>395</v>
      </c>
      <c r="CH104" s="5" t="s">
        <v>395</v>
      </c>
      <c r="CI104" s="5" t="s">
        <v>395</v>
      </c>
      <c r="CJ104" s="5" t="s">
        <v>395</v>
      </c>
      <c r="CK104" s="5" t="s">
        <v>395</v>
      </c>
      <c r="CL104" s="5" t="s">
        <v>395</v>
      </c>
      <c r="CM104" s="5" t="s">
        <v>395</v>
      </c>
      <c r="CN104" s="5" t="s">
        <v>395</v>
      </c>
      <c r="CO104" s="5" t="s">
        <v>395</v>
      </c>
      <c r="CP104" s="5" t="s">
        <v>395</v>
      </c>
      <c r="CQ104" s="5" t="s">
        <v>395</v>
      </c>
      <c r="CR104" s="5" t="s">
        <v>395</v>
      </c>
      <c r="CS104" s="5" t="s">
        <v>395</v>
      </c>
      <c r="CT104" s="5" t="s">
        <v>395</v>
      </c>
      <c r="CU104" s="5" t="s">
        <v>395</v>
      </c>
      <c r="CV104" s="5" t="s">
        <v>395</v>
      </c>
      <c r="CW104" s="5" t="s">
        <v>395</v>
      </c>
      <c r="CX104" s="5" t="s">
        <v>395</v>
      </c>
      <c r="CY104" s="252" t="s">
        <v>395</v>
      </c>
    </row>
    <row r="105" spans="1:103" x14ac:dyDescent="0.3">
      <c r="A105" s="26" t="s">
        <v>25</v>
      </c>
      <c r="B105" s="14" t="s">
        <v>25</v>
      </c>
      <c r="C105" s="14" t="s">
        <v>20</v>
      </c>
      <c r="G105" s="22">
        <v>43689</v>
      </c>
      <c r="H105" s="16">
        <v>2019</v>
      </c>
      <c r="I105" s="121" t="s">
        <v>33</v>
      </c>
      <c r="J105" s="121">
        <v>10</v>
      </c>
      <c r="K105" s="251">
        <v>0.50511247443761298</v>
      </c>
      <c r="L105" s="5" t="s">
        <v>395</v>
      </c>
      <c r="M105" s="5">
        <v>3.566775244299674E-2</v>
      </c>
      <c r="N105" s="5">
        <v>0.19841205211726384</v>
      </c>
      <c r="O105" s="5">
        <v>0.39800488599348538</v>
      </c>
      <c r="P105" s="5">
        <v>0.15790920195439739</v>
      </c>
      <c r="Q105" s="5">
        <v>1.2810769543973941</v>
      </c>
      <c r="R105" s="5">
        <v>0.598941368078176</v>
      </c>
      <c r="S105" s="5">
        <v>0.48549470684039087</v>
      </c>
      <c r="T105" s="5">
        <v>3.1555069218241041</v>
      </c>
      <c r="U105" s="5">
        <f t="shared" si="56"/>
        <v>29.672576619763756</v>
      </c>
      <c r="V105" s="5">
        <f t="shared" si="72"/>
        <v>6.4999999999999997E-3</v>
      </c>
      <c r="W105" s="5">
        <v>7.3744422439835769E-2</v>
      </c>
      <c r="X105" s="5">
        <f>0.5*0.013</f>
        <v>6.4999999999999997E-3</v>
      </c>
      <c r="Y105" s="5">
        <v>3.6014941627662521E-2</v>
      </c>
      <c r="Z105" s="5">
        <f t="shared" si="73"/>
        <v>5.0000000000000001E-3</v>
      </c>
      <c r="AA105" s="5">
        <f t="shared" si="74"/>
        <v>0.01</v>
      </c>
      <c r="AB105" s="5">
        <v>1.3835271693699887E-2</v>
      </c>
      <c r="AC105" s="5">
        <f t="shared" si="75"/>
        <v>0.05</v>
      </c>
      <c r="AD105" s="5">
        <v>0.12359463576119817</v>
      </c>
      <c r="AE105" s="5">
        <f t="shared" si="82"/>
        <v>0.14659463576119819</v>
      </c>
      <c r="AF105" s="5">
        <f>0.5*0.01</f>
        <v>5.0000000000000001E-3</v>
      </c>
      <c r="AG105" s="250" t="s">
        <v>395</v>
      </c>
      <c r="AH105" s="250">
        <v>72.154009048031583</v>
      </c>
      <c r="AI105" s="5">
        <f t="shared" si="76"/>
        <v>0.1</v>
      </c>
      <c r="AJ105" s="5">
        <f t="shared" si="77"/>
        <v>0.05</v>
      </c>
      <c r="AK105" s="5">
        <f t="shared" si="78"/>
        <v>0.1</v>
      </c>
      <c r="AL105" s="5">
        <f t="shared" si="78"/>
        <v>0.1</v>
      </c>
      <c r="AM105" s="5">
        <f t="shared" si="79"/>
        <v>0.15</v>
      </c>
      <c r="AN105" s="5">
        <v>3.5285398017133511</v>
      </c>
      <c r="AO105" s="5">
        <v>0.98348252959861404</v>
      </c>
      <c r="AP105" s="5">
        <f t="shared" si="80"/>
        <v>0.1</v>
      </c>
      <c r="AQ105" s="5">
        <v>0.88077132864889141</v>
      </c>
      <c r="AR105" s="5">
        <f t="shared" si="81"/>
        <v>0.05</v>
      </c>
      <c r="AS105" s="5" t="s">
        <v>395</v>
      </c>
      <c r="AT105" s="5" t="s">
        <v>395</v>
      </c>
      <c r="AU105" s="5" t="s">
        <v>395</v>
      </c>
      <c r="AV105" s="5" t="s">
        <v>395</v>
      </c>
      <c r="AW105" s="5" t="s">
        <v>395</v>
      </c>
      <c r="AX105" s="5" t="s">
        <v>395</v>
      </c>
      <c r="AY105" s="5" t="s">
        <v>395</v>
      </c>
      <c r="AZ105" s="5" t="s">
        <v>395</v>
      </c>
      <c r="BA105" s="5" t="s">
        <v>395</v>
      </c>
      <c r="BB105" s="5" t="s">
        <v>395</v>
      </c>
      <c r="BC105" s="5" t="s">
        <v>395</v>
      </c>
      <c r="BD105" s="5" t="s">
        <v>395</v>
      </c>
      <c r="BE105" s="5" t="s">
        <v>395</v>
      </c>
      <c r="BF105" s="5" t="s">
        <v>395</v>
      </c>
      <c r="BG105" s="5" t="s">
        <v>395</v>
      </c>
      <c r="BH105" s="5" t="s">
        <v>395</v>
      </c>
      <c r="BI105" s="5" t="s">
        <v>395</v>
      </c>
      <c r="BJ105" s="5" t="s">
        <v>395</v>
      </c>
      <c r="BK105" s="5" t="s">
        <v>395</v>
      </c>
      <c r="BL105" s="5" t="s">
        <v>395</v>
      </c>
      <c r="BM105" s="5" t="s">
        <v>395</v>
      </c>
      <c r="BN105" s="5">
        <v>120</v>
      </c>
      <c r="BO105" s="5" t="s">
        <v>395</v>
      </c>
      <c r="BP105" s="5" t="s">
        <v>395</v>
      </c>
      <c r="BQ105" s="5" t="s">
        <v>395</v>
      </c>
      <c r="BR105" s="5" t="s">
        <v>395</v>
      </c>
      <c r="BS105" s="5" t="s">
        <v>395</v>
      </c>
      <c r="BT105" s="5" t="s">
        <v>395</v>
      </c>
      <c r="BU105" s="5" t="s">
        <v>395</v>
      </c>
      <c r="BV105" s="5" t="s">
        <v>395</v>
      </c>
      <c r="BW105" s="5" t="s">
        <v>395</v>
      </c>
      <c r="BX105" s="5" t="s">
        <v>395</v>
      </c>
      <c r="BY105" s="5" t="s">
        <v>395</v>
      </c>
      <c r="BZ105" s="5" t="s">
        <v>395</v>
      </c>
      <c r="CA105" s="5" t="s">
        <v>395</v>
      </c>
      <c r="CB105" s="5" t="s">
        <v>395</v>
      </c>
      <c r="CC105" s="5" t="s">
        <v>395</v>
      </c>
      <c r="CD105" s="5" t="s">
        <v>395</v>
      </c>
      <c r="CE105" s="5" t="s">
        <v>395</v>
      </c>
      <c r="CF105" s="5" t="s">
        <v>395</v>
      </c>
      <c r="CG105" s="5" t="s">
        <v>395</v>
      </c>
      <c r="CH105" s="5" t="s">
        <v>395</v>
      </c>
      <c r="CI105" s="5" t="s">
        <v>395</v>
      </c>
      <c r="CJ105" s="5" t="s">
        <v>395</v>
      </c>
      <c r="CK105" s="5" t="s">
        <v>395</v>
      </c>
      <c r="CL105" s="5" t="s">
        <v>395</v>
      </c>
      <c r="CM105" s="5" t="s">
        <v>395</v>
      </c>
      <c r="CN105" s="5" t="s">
        <v>395</v>
      </c>
      <c r="CO105" s="5" t="s">
        <v>395</v>
      </c>
      <c r="CP105" s="5" t="s">
        <v>395</v>
      </c>
      <c r="CQ105" s="5" t="s">
        <v>395</v>
      </c>
      <c r="CR105" s="5" t="s">
        <v>395</v>
      </c>
      <c r="CS105" s="5" t="s">
        <v>395</v>
      </c>
      <c r="CT105" s="5" t="s">
        <v>395</v>
      </c>
      <c r="CU105" s="5" t="s">
        <v>395</v>
      </c>
      <c r="CV105" s="5" t="s">
        <v>395</v>
      </c>
      <c r="CW105" s="5" t="s">
        <v>395</v>
      </c>
      <c r="CX105" s="5" t="s">
        <v>395</v>
      </c>
      <c r="CY105" s="252" t="s">
        <v>395</v>
      </c>
    </row>
    <row r="106" spans="1:103" x14ac:dyDescent="0.3">
      <c r="A106" s="26" t="s">
        <v>5</v>
      </c>
      <c r="B106" s="14" t="s">
        <v>5</v>
      </c>
      <c r="C106" s="14" t="s">
        <v>20</v>
      </c>
      <c r="G106" s="22">
        <v>43679</v>
      </c>
      <c r="H106" s="16">
        <v>2019</v>
      </c>
      <c r="I106" s="121" t="s">
        <v>33</v>
      </c>
      <c r="J106" s="121">
        <v>10</v>
      </c>
      <c r="K106" s="251">
        <v>0.45077533357372096</v>
      </c>
      <c r="L106" s="5" t="s">
        <v>395</v>
      </c>
      <c r="M106" s="5">
        <v>0.62387479541734869</v>
      </c>
      <c r="N106" s="5">
        <v>1.460464402618658</v>
      </c>
      <c r="O106" s="5">
        <v>4.8424713584288055</v>
      </c>
      <c r="P106" s="5">
        <v>4.4062909165302777</v>
      </c>
      <c r="Q106" s="5">
        <v>7.4108428805237327</v>
      </c>
      <c r="R106" s="5">
        <v>7.3866612111292964</v>
      </c>
      <c r="S106" s="5">
        <v>2.0762888707037641</v>
      </c>
      <c r="T106" s="5">
        <v>28.206894435351881</v>
      </c>
      <c r="U106" s="5">
        <f t="shared" si="56"/>
        <v>263.99629423078437</v>
      </c>
      <c r="V106" s="5">
        <f t="shared" si="72"/>
        <v>6.4999999999999997E-3</v>
      </c>
      <c r="W106" s="5">
        <v>0.15482420007269895</v>
      </c>
      <c r="X106" s="5">
        <v>5.8237615584640981E-2</v>
      </c>
      <c r="Y106" s="5">
        <v>0.14996252521865158</v>
      </c>
      <c r="Z106" s="5">
        <f t="shared" si="73"/>
        <v>5.0000000000000001E-3</v>
      </c>
      <c r="AA106" s="5">
        <f t="shared" si="74"/>
        <v>0.01</v>
      </c>
      <c r="AB106" s="5">
        <v>3.4858472450930454E-2</v>
      </c>
      <c r="AC106" s="5">
        <f t="shared" si="75"/>
        <v>0.05</v>
      </c>
      <c r="AD106" s="5">
        <v>0.39788281332692199</v>
      </c>
      <c r="AE106" s="5">
        <f t="shared" si="82"/>
        <v>0.41438281332692195</v>
      </c>
      <c r="AF106" s="5">
        <f>0.5*0.01</f>
        <v>5.0000000000000001E-3</v>
      </c>
      <c r="AG106" s="250" t="s">
        <v>395</v>
      </c>
      <c r="AH106" s="250">
        <v>15.728358208955221</v>
      </c>
      <c r="AI106" s="5">
        <f t="shared" si="76"/>
        <v>0.1</v>
      </c>
      <c r="AJ106" s="5">
        <f t="shared" si="77"/>
        <v>0.05</v>
      </c>
      <c r="AK106" s="5">
        <f t="shared" si="78"/>
        <v>0.1</v>
      </c>
      <c r="AL106" s="5">
        <f t="shared" si="78"/>
        <v>0.1</v>
      </c>
      <c r="AM106" s="5">
        <f t="shared" si="79"/>
        <v>0.15</v>
      </c>
      <c r="AN106" s="5">
        <v>0.77686567164179099</v>
      </c>
      <c r="AO106" s="5">
        <f>0.5*0.3</f>
        <v>0.15</v>
      </c>
      <c r="AP106" s="5">
        <f t="shared" si="80"/>
        <v>0.1</v>
      </c>
      <c r="AQ106" s="5">
        <v>0.45338930348258705</v>
      </c>
      <c r="AR106" s="5">
        <f t="shared" si="81"/>
        <v>0.05</v>
      </c>
      <c r="AS106" s="5" t="s">
        <v>395</v>
      </c>
      <c r="AT106" s="5" t="s">
        <v>395</v>
      </c>
      <c r="AU106" s="5" t="s">
        <v>395</v>
      </c>
      <c r="AV106" s="5" t="s">
        <v>395</v>
      </c>
      <c r="AW106" s="5" t="s">
        <v>395</v>
      </c>
      <c r="AX106" s="5" t="s">
        <v>395</v>
      </c>
      <c r="AY106" s="5" t="s">
        <v>395</v>
      </c>
      <c r="AZ106" s="5" t="s">
        <v>395</v>
      </c>
      <c r="BA106" s="5" t="s">
        <v>395</v>
      </c>
      <c r="BB106" s="5" t="s">
        <v>395</v>
      </c>
      <c r="BC106" s="5" t="s">
        <v>395</v>
      </c>
      <c r="BD106" s="5" t="s">
        <v>395</v>
      </c>
      <c r="BE106" s="5" t="s">
        <v>395</v>
      </c>
      <c r="BF106" s="5" t="s">
        <v>395</v>
      </c>
      <c r="BG106" s="5" t="s">
        <v>395</v>
      </c>
      <c r="BH106" s="5" t="s">
        <v>395</v>
      </c>
      <c r="BI106" s="5" t="s">
        <v>395</v>
      </c>
      <c r="BJ106" s="5" t="s">
        <v>395</v>
      </c>
      <c r="BK106" s="5" t="s">
        <v>395</v>
      </c>
      <c r="BL106" s="5" t="s">
        <v>395</v>
      </c>
      <c r="BM106" s="5" t="s">
        <v>395</v>
      </c>
      <c r="BN106" s="5">
        <v>100</v>
      </c>
      <c r="BO106" s="5" t="s">
        <v>395</v>
      </c>
      <c r="BP106" s="5" t="s">
        <v>395</v>
      </c>
      <c r="BQ106" s="5" t="s">
        <v>395</v>
      </c>
      <c r="BR106" s="5" t="s">
        <v>395</v>
      </c>
      <c r="BS106" s="5" t="s">
        <v>395</v>
      </c>
      <c r="BT106" s="5" t="s">
        <v>395</v>
      </c>
      <c r="BU106" s="5" t="s">
        <v>395</v>
      </c>
      <c r="BV106" s="5" t="s">
        <v>395</v>
      </c>
      <c r="BW106" s="5" t="s">
        <v>395</v>
      </c>
      <c r="BX106" s="5" t="s">
        <v>395</v>
      </c>
      <c r="BY106" s="5" t="s">
        <v>395</v>
      </c>
      <c r="BZ106" s="5" t="s">
        <v>395</v>
      </c>
      <c r="CA106" s="5" t="s">
        <v>395</v>
      </c>
      <c r="CB106" s="5" t="s">
        <v>395</v>
      </c>
      <c r="CC106" s="5" t="s">
        <v>395</v>
      </c>
      <c r="CD106" s="5" t="s">
        <v>395</v>
      </c>
      <c r="CE106" s="5" t="s">
        <v>395</v>
      </c>
      <c r="CF106" s="5" t="s">
        <v>395</v>
      </c>
      <c r="CG106" s="5" t="s">
        <v>395</v>
      </c>
      <c r="CH106" s="5" t="s">
        <v>395</v>
      </c>
      <c r="CI106" s="5" t="s">
        <v>395</v>
      </c>
      <c r="CJ106" s="5" t="s">
        <v>395</v>
      </c>
      <c r="CK106" s="5" t="s">
        <v>395</v>
      </c>
      <c r="CL106" s="5" t="s">
        <v>395</v>
      </c>
      <c r="CM106" s="5" t="s">
        <v>395</v>
      </c>
      <c r="CN106" s="5" t="s">
        <v>395</v>
      </c>
      <c r="CO106" s="5" t="s">
        <v>395</v>
      </c>
      <c r="CP106" s="5" t="s">
        <v>395</v>
      </c>
      <c r="CQ106" s="5" t="s">
        <v>395</v>
      </c>
      <c r="CR106" s="5" t="s">
        <v>395</v>
      </c>
      <c r="CS106" s="5" t="s">
        <v>395</v>
      </c>
      <c r="CT106" s="5" t="s">
        <v>395</v>
      </c>
      <c r="CU106" s="5" t="s">
        <v>395</v>
      </c>
      <c r="CV106" s="5" t="s">
        <v>395</v>
      </c>
      <c r="CW106" s="5" t="s">
        <v>395</v>
      </c>
      <c r="CX106" s="5" t="s">
        <v>395</v>
      </c>
      <c r="CY106" s="252" t="s">
        <v>395</v>
      </c>
    </row>
    <row r="107" spans="1:103" x14ac:dyDescent="0.3">
      <c r="A107" s="26" t="s">
        <v>23</v>
      </c>
      <c r="B107" s="14" t="s">
        <v>23</v>
      </c>
      <c r="C107" s="14" t="s">
        <v>20</v>
      </c>
      <c r="G107" s="22">
        <v>43678</v>
      </c>
      <c r="H107" s="16">
        <v>2019</v>
      </c>
      <c r="I107" s="121" t="s">
        <v>33</v>
      </c>
      <c r="J107" s="121">
        <v>10</v>
      </c>
      <c r="K107" s="251">
        <v>0.46467104082329602</v>
      </c>
      <c r="L107" s="5" t="s">
        <v>395</v>
      </c>
      <c r="M107" s="5">
        <v>0.31191842590694818</v>
      </c>
      <c r="N107" s="5">
        <v>1.9880610780897727</v>
      </c>
      <c r="O107" s="5">
        <v>8.9203217872514866</v>
      </c>
      <c r="P107" s="5">
        <v>7.0067021930723508</v>
      </c>
      <c r="Q107" s="5">
        <v>14.893195326911254</v>
      </c>
      <c r="R107" s="5">
        <v>13.510043041606886</v>
      </c>
      <c r="S107" s="5">
        <v>4.9397417503586807</v>
      </c>
      <c r="T107" s="5">
        <v>51.569983603197379</v>
      </c>
      <c r="U107" s="5">
        <f t="shared" si="56"/>
        <v>479.51429608318801</v>
      </c>
      <c r="V107" s="5">
        <f t="shared" si="72"/>
        <v>6.4999999999999997E-3</v>
      </c>
      <c r="W107" s="5">
        <v>0.15767696190726829</v>
      </c>
      <c r="X107" s="5">
        <v>2.1890892758594325E-2</v>
      </c>
      <c r="Y107" s="5">
        <v>4.8405398615509541E-2</v>
      </c>
      <c r="Z107" s="5">
        <f t="shared" si="73"/>
        <v>5.0000000000000001E-3</v>
      </c>
      <c r="AA107" s="5">
        <v>2.0825950649652775E-2</v>
      </c>
      <c r="AB107" s="5">
        <v>3.2412519504941152E-2</v>
      </c>
      <c r="AC107" s="5">
        <f t="shared" si="75"/>
        <v>0.05</v>
      </c>
      <c r="AD107" s="5">
        <v>0.28121172343596612</v>
      </c>
      <c r="AE107" s="5">
        <f t="shared" si="82"/>
        <v>0.28771172343596607</v>
      </c>
      <c r="AF107" s="5">
        <f>0.5*0.01</f>
        <v>5.0000000000000001E-3</v>
      </c>
      <c r="AG107" s="250" t="s">
        <v>395</v>
      </c>
      <c r="AH107" s="250">
        <v>6.9633767846058339</v>
      </c>
      <c r="AI107" s="5">
        <f t="shared" si="76"/>
        <v>0.1</v>
      </c>
      <c r="AJ107" s="5">
        <f t="shared" si="77"/>
        <v>0.05</v>
      </c>
      <c r="AK107" s="5">
        <f t="shared" si="78"/>
        <v>0.1</v>
      </c>
      <c r="AL107" s="5">
        <f t="shared" si="78"/>
        <v>0.1</v>
      </c>
      <c r="AM107" s="5">
        <f t="shared" si="79"/>
        <v>0.15</v>
      </c>
      <c r="AN107" s="5">
        <v>0.48396441133871304</v>
      </c>
      <c r="AO107" s="5">
        <f>0.5*0.3</f>
        <v>0.15</v>
      </c>
      <c r="AP107" s="5">
        <f t="shared" si="80"/>
        <v>0.1</v>
      </c>
      <c r="AQ107" s="5">
        <v>0.34143734050624175</v>
      </c>
      <c r="AR107" s="5">
        <f t="shared" si="81"/>
        <v>0.05</v>
      </c>
      <c r="AS107" s="5" t="s">
        <v>395</v>
      </c>
      <c r="AT107" s="5" t="s">
        <v>395</v>
      </c>
      <c r="AU107" s="5" t="s">
        <v>395</v>
      </c>
      <c r="AV107" s="5" t="s">
        <v>395</v>
      </c>
      <c r="AW107" s="5" t="s">
        <v>395</v>
      </c>
      <c r="AX107" s="5" t="s">
        <v>395</v>
      </c>
      <c r="AY107" s="5" t="s">
        <v>395</v>
      </c>
      <c r="AZ107" s="5" t="s">
        <v>395</v>
      </c>
      <c r="BA107" s="5" t="s">
        <v>395</v>
      </c>
      <c r="BB107" s="5" t="s">
        <v>395</v>
      </c>
      <c r="BC107" s="5" t="s">
        <v>395</v>
      </c>
      <c r="BD107" s="5" t="s">
        <v>395</v>
      </c>
      <c r="BE107" s="5" t="s">
        <v>395</v>
      </c>
      <c r="BF107" s="5" t="s">
        <v>395</v>
      </c>
      <c r="BG107" s="5" t="s">
        <v>395</v>
      </c>
      <c r="BH107" s="5" t="s">
        <v>395</v>
      </c>
      <c r="BI107" s="5" t="s">
        <v>395</v>
      </c>
      <c r="BJ107" s="5" t="s">
        <v>395</v>
      </c>
      <c r="BK107" s="5" t="s">
        <v>395</v>
      </c>
      <c r="BL107" s="5" t="s">
        <v>395</v>
      </c>
      <c r="BM107" s="5" t="s">
        <v>395</v>
      </c>
      <c r="BN107" s="5">
        <v>300</v>
      </c>
      <c r="BO107" s="5" t="s">
        <v>395</v>
      </c>
      <c r="BP107" s="5" t="s">
        <v>395</v>
      </c>
      <c r="BQ107" s="5" t="s">
        <v>395</v>
      </c>
      <c r="BR107" s="5" t="s">
        <v>395</v>
      </c>
      <c r="BS107" s="5" t="s">
        <v>395</v>
      </c>
      <c r="BT107" s="5" t="s">
        <v>395</v>
      </c>
      <c r="BU107" s="5" t="s">
        <v>395</v>
      </c>
      <c r="BV107" s="5" t="s">
        <v>395</v>
      </c>
      <c r="BW107" s="5" t="s">
        <v>395</v>
      </c>
      <c r="BX107" s="5" t="s">
        <v>395</v>
      </c>
      <c r="BY107" s="5" t="s">
        <v>395</v>
      </c>
      <c r="BZ107" s="5" t="s">
        <v>395</v>
      </c>
      <c r="CA107" s="5" t="s">
        <v>395</v>
      </c>
      <c r="CB107" s="5" t="s">
        <v>395</v>
      </c>
      <c r="CC107" s="5" t="s">
        <v>395</v>
      </c>
      <c r="CD107" s="5" t="s">
        <v>395</v>
      </c>
      <c r="CE107" s="5" t="s">
        <v>395</v>
      </c>
      <c r="CF107" s="5" t="s">
        <v>395</v>
      </c>
      <c r="CG107" s="5" t="s">
        <v>395</v>
      </c>
      <c r="CH107" s="5" t="s">
        <v>395</v>
      </c>
      <c r="CI107" s="5" t="s">
        <v>395</v>
      </c>
      <c r="CJ107" s="5" t="s">
        <v>395</v>
      </c>
      <c r="CK107" s="5" t="s">
        <v>395</v>
      </c>
      <c r="CL107" s="5" t="s">
        <v>395</v>
      </c>
      <c r="CM107" s="5" t="s">
        <v>395</v>
      </c>
      <c r="CN107" s="5" t="s">
        <v>395</v>
      </c>
      <c r="CO107" s="5" t="s">
        <v>395</v>
      </c>
      <c r="CP107" s="5" t="s">
        <v>395</v>
      </c>
      <c r="CQ107" s="5" t="s">
        <v>395</v>
      </c>
      <c r="CR107" s="5" t="s">
        <v>395</v>
      </c>
      <c r="CS107" s="5" t="s">
        <v>395</v>
      </c>
      <c r="CT107" s="5" t="s">
        <v>395</v>
      </c>
      <c r="CU107" s="5" t="s">
        <v>395</v>
      </c>
      <c r="CV107" s="5" t="s">
        <v>395</v>
      </c>
      <c r="CW107" s="5" t="s">
        <v>395</v>
      </c>
      <c r="CX107" s="5" t="s">
        <v>395</v>
      </c>
      <c r="CY107" s="252" t="s">
        <v>395</v>
      </c>
    </row>
    <row r="108" spans="1:103" x14ac:dyDescent="0.3">
      <c r="A108" s="26" t="s">
        <v>6</v>
      </c>
      <c r="B108" s="14" t="s">
        <v>6</v>
      </c>
      <c r="C108" s="14" t="s">
        <v>20</v>
      </c>
      <c r="G108" s="22">
        <v>43686</v>
      </c>
      <c r="H108" s="16">
        <v>2019</v>
      </c>
      <c r="I108" s="121" t="s">
        <v>33</v>
      </c>
      <c r="J108" s="121">
        <v>10</v>
      </c>
      <c r="K108" s="251">
        <v>0.36286225748701401</v>
      </c>
      <c r="L108" s="5" t="s">
        <v>395</v>
      </c>
      <c r="M108" s="5">
        <v>5.2229475039073277E-2</v>
      </c>
      <c r="N108" s="5">
        <v>0.25123655419692925</v>
      </c>
      <c r="O108" s="5">
        <v>1.1696331709110968</v>
      </c>
      <c r="P108" s="5">
        <v>0.86850234439643281</v>
      </c>
      <c r="Q108" s="5">
        <v>2.5151696239771995</v>
      </c>
      <c r="R108" s="5">
        <v>2.1407557230854093</v>
      </c>
      <c r="S108" s="5">
        <v>0.84689712236830006</v>
      </c>
      <c r="T108" s="5">
        <v>7.8444240139744403</v>
      </c>
      <c r="U108" s="5">
        <f t="shared" si="56"/>
        <v>96.123549992350192</v>
      </c>
      <c r="V108" s="5">
        <f t="shared" si="72"/>
        <v>6.4999999999999997E-3</v>
      </c>
      <c r="W108" s="5">
        <v>8.4790038995946462E-2</v>
      </c>
      <c r="X108" s="5">
        <v>2.3180954800777261E-2</v>
      </c>
      <c r="Y108" s="5">
        <v>6.2134026043462673E-2</v>
      </c>
      <c r="Z108" s="5">
        <f t="shared" si="73"/>
        <v>5.0000000000000001E-3</v>
      </c>
      <c r="AA108" s="5">
        <f t="shared" ref="AA108:AA113" si="83">0.5*0.02</f>
        <v>0.01</v>
      </c>
      <c r="AB108" s="5">
        <f t="shared" ref="AB108:AB113" si="84">0.5*0.013</f>
        <v>6.4999999999999997E-3</v>
      </c>
      <c r="AC108" s="5">
        <f t="shared" si="75"/>
        <v>0.05</v>
      </c>
      <c r="AD108" s="5">
        <v>0.17010501984018639</v>
      </c>
      <c r="AE108" s="5">
        <f t="shared" si="82"/>
        <v>0.19310501984018641</v>
      </c>
      <c r="AF108" s="5">
        <v>1.5077686862186265E-2</v>
      </c>
      <c r="AG108" s="250">
        <f>AF108*(5/K108)</f>
        <v>0.20776047316971041</v>
      </c>
      <c r="AH108" s="250">
        <v>9.2348142868456495</v>
      </c>
      <c r="AI108" s="5">
        <f t="shared" si="76"/>
        <v>0.1</v>
      </c>
      <c r="AJ108" s="5">
        <f t="shared" si="77"/>
        <v>0.05</v>
      </c>
      <c r="AK108" s="5">
        <f t="shared" si="78"/>
        <v>0.1</v>
      </c>
      <c r="AL108" s="5">
        <f t="shared" si="78"/>
        <v>0.1</v>
      </c>
      <c r="AM108" s="5">
        <f t="shared" si="79"/>
        <v>0.15</v>
      </c>
      <c r="AN108" s="5">
        <v>0.85198384414350192</v>
      </c>
      <c r="AO108" s="5">
        <f>0.5*0.3</f>
        <v>0.15</v>
      </c>
      <c r="AP108" s="5">
        <f t="shared" si="80"/>
        <v>0.1</v>
      </c>
      <c r="AQ108" s="5">
        <v>0.3896676434096249</v>
      </c>
      <c r="AR108" s="5">
        <f t="shared" si="81"/>
        <v>0.05</v>
      </c>
      <c r="AS108" s="5" t="s">
        <v>395</v>
      </c>
      <c r="AT108" s="5" t="s">
        <v>395</v>
      </c>
      <c r="AU108" s="5" t="s">
        <v>395</v>
      </c>
      <c r="AV108" s="5" t="s">
        <v>395</v>
      </c>
      <c r="AW108" s="5" t="s">
        <v>395</v>
      </c>
      <c r="AX108" s="5" t="s">
        <v>395</v>
      </c>
      <c r="AY108" s="5" t="s">
        <v>395</v>
      </c>
      <c r="AZ108" s="5" t="s">
        <v>395</v>
      </c>
      <c r="BA108" s="5" t="s">
        <v>395</v>
      </c>
      <c r="BB108" s="5" t="s">
        <v>395</v>
      </c>
      <c r="BC108" s="5" t="s">
        <v>395</v>
      </c>
      <c r="BD108" s="5" t="s">
        <v>395</v>
      </c>
      <c r="BE108" s="5" t="s">
        <v>395</v>
      </c>
      <c r="BF108" s="5" t="s">
        <v>395</v>
      </c>
      <c r="BG108" s="5" t="s">
        <v>395</v>
      </c>
      <c r="BH108" s="5" t="s">
        <v>395</v>
      </c>
      <c r="BI108" s="5" t="s">
        <v>395</v>
      </c>
      <c r="BJ108" s="5" t="s">
        <v>395</v>
      </c>
      <c r="BK108" s="5" t="s">
        <v>395</v>
      </c>
      <c r="BL108" s="5" t="s">
        <v>395</v>
      </c>
      <c r="BM108" s="5" t="s">
        <v>395</v>
      </c>
      <c r="BN108" s="5">
        <v>42</v>
      </c>
      <c r="BO108" s="5" t="s">
        <v>395</v>
      </c>
      <c r="BP108" s="5" t="s">
        <v>395</v>
      </c>
      <c r="BQ108" s="5" t="s">
        <v>395</v>
      </c>
      <c r="BR108" s="5" t="s">
        <v>395</v>
      </c>
      <c r="BS108" s="5" t="s">
        <v>395</v>
      </c>
      <c r="BT108" s="5" t="s">
        <v>395</v>
      </c>
      <c r="BU108" s="5" t="s">
        <v>395</v>
      </c>
      <c r="BV108" s="5" t="s">
        <v>395</v>
      </c>
      <c r="BW108" s="5" t="s">
        <v>395</v>
      </c>
      <c r="BX108" s="5" t="s">
        <v>395</v>
      </c>
      <c r="BY108" s="5" t="s">
        <v>395</v>
      </c>
      <c r="BZ108" s="5" t="s">
        <v>395</v>
      </c>
      <c r="CA108" s="5" t="s">
        <v>395</v>
      </c>
      <c r="CB108" s="5" t="s">
        <v>395</v>
      </c>
      <c r="CC108" s="5" t="s">
        <v>395</v>
      </c>
      <c r="CD108" s="5" t="s">
        <v>395</v>
      </c>
      <c r="CE108" s="5" t="s">
        <v>395</v>
      </c>
      <c r="CF108" s="5" t="s">
        <v>395</v>
      </c>
      <c r="CG108" s="5" t="s">
        <v>395</v>
      </c>
      <c r="CH108" s="5" t="s">
        <v>395</v>
      </c>
      <c r="CI108" s="5" t="s">
        <v>395</v>
      </c>
      <c r="CJ108" s="5" t="s">
        <v>395</v>
      </c>
      <c r="CK108" s="5" t="s">
        <v>395</v>
      </c>
      <c r="CL108" s="5" t="s">
        <v>395</v>
      </c>
      <c r="CM108" s="5" t="s">
        <v>395</v>
      </c>
      <c r="CN108" s="5" t="s">
        <v>395</v>
      </c>
      <c r="CO108" s="5" t="s">
        <v>395</v>
      </c>
      <c r="CP108" s="5" t="s">
        <v>395</v>
      </c>
      <c r="CQ108" s="5" t="s">
        <v>395</v>
      </c>
      <c r="CR108" s="5" t="s">
        <v>395</v>
      </c>
      <c r="CS108" s="5" t="s">
        <v>395</v>
      </c>
      <c r="CT108" s="5" t="s">
        <v>395</v>
      </c>
      <c r="CU108" s="5" t="s">
        <v>395</v>
      </c>
      <c r="CV108" s="5" t="s">
        <v>395</v>
      </c>
      <c r="CW108" s="5" t="s">
        <v>395</v>
      </c>
      <c r="CX108" s="5" t="s">
        <v>395</v>
      </c>
      <c r="CY108" s="252" t="s">
        <v>395</v>
      </c>
    </row>
    <row r="109" spans="1:103" x14ac:dyDescent="0.3">
      <c r="A109" s="26" t="s">
        <v>81</v>
      </c>
      <c r="B109" s="14" t="s">
        <v>81</v>
      </c>
      <c r="C109" s="14" t="s">
        <v>20</v>
      </c>
      <c r="G109" s="22">
        <v>43692</v>
      </c>
      <c r="H109" s="16">
        <v>2019</v>
      </c>
      <c r="I109" s="121" t="s">
        <v>33</v>
      </c>
      <c r="J109" s="121">
        <v>10</v>
      </c>
      <c r="K109" s="251">
        <v>0.48309178743959896</v>
      </c>
      <c r="L109" s="5" t="s">
        <v>395</v>
      </c>
      <c r="M109" s="5">
        <v>3.4749022432137462E-2</v>
      </c>
      <c r="N109" s="5">
        <v>9.8759325314898644E-2</v>
      </c>
      <c r="O109" s="5">
        <v>0.28674506619572965</v>
      </c>
      <c r="P109" s="5">
        <v>0.22383029048924669</v>
      </c>
      <c r="Q109" s="5">
        <v>0.55442585086243878</v>
      </c>
      <c r="R109" s="5">
        <v>0.53012666363741601</v>
      </c>
      <c r="S109" s="5">
        <v>0.23471806766413206</v>
      </c>
      <c r="T109" s="5">
        <v>1.9633542865959994</v>
      </c>
      <c r="U109" s="5">
        <f t="shared" si="56"/>
        <v>18.004073359705433</v>
      </c>
      <c r="V109" s="5">
        <f t="shared" si="72"/>
        <v>6.4999999999999997E-3</v>
      </c>
      <c r="W109" s="5">
        <v>4.8472958549214989E-2</v>
      </c>
      <c r="X109" s="5">
        <v>1.4226669877088073E-2</v>
      </c>
      <c r="Y109" s="5">
        <v>5.1943418290425321E-2</v>
      </c>
      <c r="Z109" s="5">
        <v>1.7209770388279467E-2</v>
      </c>
      <c r="AA109" s="5">
        <f t="shared" si="83"/>
        <v>0.01</v>
      </c>
      <c r="AB109" s="5">
        <f t="shared" si="84"/>
        <v>6.4999999999999997E-3</v>
      </c>
      <c r="AC109" s="5">
        <f t="shared" si="75"/>
        <v>0.05</v>
      </c>
      <c r="AD109" s="5">
        <v>0.13185281710500785</v>
      </c>
      <c r="AE109" s="5">
        <f t="shared" si="82"/>
        <v>0.13764304671672839</v>
      </c>
      <c r="AF109" s="5">
        <f>0.5*0.01</f>
        <v>5.0000000000000001E-3</v>
      </c>
      <c r="AG109" s="250" t="s">
        <v>395</v>
      </c>
      <c r="AH109" s="250">
        <v>8.5221736414740796</v>
      </c>
      <c r="AI109" s="5">
        <f t="shared" si="76"/>
        <v>0.1</v>
      </c>
      <c r="AJ109" s="5">
        <f t="shared" si="77"/>
        <v>0.05</v>
      </c>
      <c r="AK109" s="5">
        <f t="shared" si="78"/>
        <v>0.1</v>
      </c>
      <c r="AL109" s="5">
        <f t="shared" si="78"/>
        <v>0.1</v>
      </c>
      <c r="AM109" s="5">
        <f t="shared" si="79"/>
        <v>0.15</v>
      </c>
      <c r="AN109" s="5">
        <v>1.1651646292495761</v>
      </c>
      <c r="AO109" s="5">
        <v>1.6701525832069242</v>
      </c>
      <c r="AP109" s="5">
        <f t="shared" si="80"/>
        <v>0.1</v>
      </c>
      <c r="AQ109" s="5">
        <v>1.2679872698610988</v>
      </c>
      <c r="AR109" s="5">
        <v>0.36716932869337615</v>
      </c>
      <c r="AS109" s="5" t="s">
        <v>395</v>
      </c>
      <c r="AT109" s="5" t="s">
        <v>395</v>
      </c>
      <c r="AU109" s="5" t="s">
        <v>395</v>
      </c>
      <c r="AV109" s="5" t="s">
        <v>395</v>
      </c>
      <c r="AW109" s="5" t="s">
        <v>395</v>
      </c>
      <c r="AX109" s="5" t="s">
        <v>395</v>
      </c>
      <c r="AY109" s="5" t="s">
        <v>395</v>
      </c>
      <c r="AZ109" s="5" t="s">
        <v>395</v>
      </c>
      <c r="BA109" s="5" t="s">
        <v>395</v>
      </c>
      <c r="BB109" s="5" t="s">
        <v>395</v>
      </c>
      <c r="BC109" s="5" t="s">
        <v>395</v>
      </c>
      <c r="BD109" s="5" t="s">
        <v>395</v>
      </c>
      <c r="BE109" s="5" t="s">
        <v>395</v>
      </c>
      <c r="BF109" s="5" t="s">
        <v>395</v>
      </c>
      <c r="BG109" s="5" t="s">
        <v>395</v>
      </c>
      <c r="BH109" s="5" t="s">
        <v>395</v>
      </c>
      <c r="BI109" s="5" t="s">
        <v>395</v>
      </c>
      <c r="BJ109" s="5" t="s">
        <v>395</v>
      </c>
      <c r="BK109" s="5" t="s">
        <v>395</v>
      </c>
      <c r="BL109" s="5" t="s">
        <v>395</v>
      </c>
      <c r="BM109" s="5" t="s">
        <v>395</v>
      </c>
      <c r="BN109" s="5">
        <v>16</v>
      </c>
      <c r="BO109" s="5" t="s">
        <v>395</v>
      </c>
      <c r="BP109" s="5" t="s">
        <v>395</v>
      </c>
      <c r="BQ109" s="5" t="s">
        <v>395</v>
      </c>
      <c r="BR109" s="5" t="s">
        <v>395</v>
      </c>
      <c r="BS109" s="5" t="s">
        <v>395</v>
      </c>
      <c r="BT109" s="5" t="s">
        <v>395</v>
      </c>
      <c r="BU109" s="5" t="s">
        <v>395</v>
      </c>
      <c r="BV109" s="5" t="s">
        <v>395</v>
      </c>
      <c r="BW109" s="5" t="s">
        <v>395</v>
      </c>
      <c r="BX109" s="5" t="s">
        <v>395</v>
      </c>
      <c r="BY109" s="5" t="s">
        <v>395</v>
      </c>
      <c r="BZ109" s="5" t="s">
        <v>395</v>
      </c>
      <c r="CA109" s="5" t="s">
        <v>395</v>
      </c>
      <c r="CB109" s="5" t="s">
        <v>395</v>
      </c>
      <c r="CC109" s="5" t="s">
        <v>395</v>
      </c>
      <c r="CD109" s="5" t="s">
        <v>395</v>
      </c>
      <c r="CE109" s="5" t="s">
        <v>395</v>
      </c>
      <c r="CF109" s="5" t="s">
        <v>395</v>
      </c>
      <c r="CG109" s="5" t="s">
        <v>395</v>
      </c>
      <c r="CH109" s="5" t="s">
        <v>395</v>
      </c>
      <c r="CI109" s="5" t="s">
        <v>395</v>
      </c>
      <c r="CJ109" s="5" t="s">
        <v>395</v>
      </c>
      <c r="CK109" s="5" t="s">
        <v>395</v>
      </c>
      <c r="CL109" s="5" t="s">
        <v>395</v>
      </c>
      <c r="CM109" s="5" t="s">
        <v>395</v>
      </c>
      <c r="CN109" s="5" t="s">
        <v>395</v>
      </c>
      <c r="CO109" s="5" t="s">
        <v>395</v>
      </c>
      <c r="CP109" s="5" t="s">
        <v>395</v>
      </c>
      <c r="CQ109" s="5" t="s">
        <v>395</v>
      </c>
      <c r="CR109" s="5" t="s">
        <v>395</v>
      </c>
      <c r="CS109" s="5" t="s">
        <v>395</v>
      </c>
      <c r="CT109" s="5" t="s">
        <v>395</v>
      </c>
      <c r="CU109" s="5" t="s">
        <v>395</v>
      </c>
      <c r="CV109" s="5" t="s">
        <v>395</v>
      </c>
      <c r="CW109" s="5" t="s">
        <v>395</v>
      </c>
      <c r="CX109" s="5" t="s">
        <v>395</v>
      </c>
      <c r="CY109" s="252" t="s">
        <v>395</v>
      </c>
    </row>
    <row r="110" spans="1:103" x14ac:dyDescent="0.3">
      <c r="A110" s="26" t="s">
        <v>26</v>
      </c>
      <c r="B110" s="14" t="s">
        <v>26</v>
      </c>
      <c r="C110" s="14" t="s">
        <v>20</v>
      </c>
      <c r="G110" s="22">
        <v>43692</v>
      </c>
      <c r="H110" s="16">
        <v>2019</v>
      </c>
      <c r="I110" s="121" t="s">
        <v>33</v>
      </c>
      <c r="J110" s="121">
        <v>10</v>
      </c>
      <c r="K110" s="251">
        <v>0.39299937120102102</v>
      </c>
      <c r="L110" s="5" t="s">
        <v>395</v>
      </c>
      <c r="M110" s="5">
        <v>2.7408847836655328E-2</v>
      </c>
      <c r="N110" s="5">
        <v>2.8522119591638306E-2</v>
      </c>
      <c r="O110" s="5">
        <v>0.14955760816723385</v>
      </c>
      <c r="P110" s="5">
        <v>0.16347107438016528</v>
      </c>
      <c r="Q110" s="5">
        <v>0.41700534759358288</v>
      </c>
      <c r="R110" s="5">
        <v>0.40359747204666985</v>
      </c>
      <c r="S110" s="5">
        <v>0.15572192513368982</v>
      </c>
      <c r="T110" s="5">
        <v>1.3452843947496353</v>
      </c>
      <c r="U110" s="5">
        <f t="shared" si="56"/>
        <v>15.035816937286741</v>
      </c>
      <c r="V110" s="5">
        <f t="shared" si="72"/>
        <v>6.4999999999999997E-3</v>
      </c>
      <c r="W110" s="5">
        <f>0.5*0.01</f>
        <v>5.0000000000000001E-3</v>
      </c>
      <c r="X110" s="5">
        <f>0.5*0.013</f>
        <v>6.4999999999999997E-3</v>
      </c>
      <c r="Y110" s="5">
        <f>0.5*0.015</f>
        <v>7.4999999999999997E-3</v>
      </c>
      <c r="Z110" s="5">
        <v>1.8104621981435177E-2</v>
      </c>
      <c r="AA110" s="5">
        <f t="shared" si="83"/>
        <v>0.01</v>
      </c>
      <c r="AB110" s="5">
        <f t="shared" si="84"/>
        <v>6.4999999999999997E-3</v>
      </c>
      <c r="AC110" s="5">
        <f t="shared" si="75"/>
        <v>0.05</v>
      </c>
      <c r="AD110" s="5">
        <v>1.8104621981435177E-2</v>
      </c>
      <c r="AE110" s="5">
        <f t="shared" si="82"/>
        <v>4.2000000000000003E-2</v>
      </c>
      <c r="AF110" s="5">
        <f>0.5*0.01</f>
        <v>5.0000000000000001E-3</v>
      </c>
      <c r="AG110" s="250" t="s">
        <v>395</v>
      </c>
      <c r="AH110" s="250">
        <v>1.9319727891156462</v>
      </c>
      <c r="AI110" s="5">
        <f t="shared" si="76"/>
        <v>0.1</v>
      </c>
      <c r="AJ110" s="5">
        <f t="shared" si="77"/>
        <v>0.05</v>
      </c>
      <c r="AK110" s="5">
        <f t="shared" si="78"/>
        <v>0.1</v>
      </c>
      <c r="AL110" s="5">
        <f t="shared" si="78"/>
        <v>0.1</v>
      </c>
      <c r="AM110" s="5">
        <f t="shared" si="79"/>
        <v>0.15</v>
      </c>
      <c r="AN110" s="5">
        <v>0.24526239067055391</v>
      </c>
      <c r="AO110" s="5">
        <f>0.5*0.3</f>
        <v>0.15</v>
      </c>
      <c r="AP110" s="5">
        <f t="shared" si="80"/>
        <v>0.1</v>
      </c>
      <c r="AQ110" s="5">
        <f>0.5*0.2</f>
        <v>0.1</v>
      </c>
      <c r="AR110" s="5">
        <f>0.5*0.1</f>
        <v>0.05</v>
      </c>
      <c r="AS110" s="5" t="s">
        <v>395</v>
      </c>
      <c r="AT110" s="5" t="s">
        <v>395</v>
      </c>
      <c r="AU110" s="5" t="s">
        <v>395</v>
      </c>
      <c r="AV110" s="5" t="s">
        <v>395</v>
      </c>
      <c r="AW110" s="5" t="s">
        <v>395</v>
      </c>
      <c r="AX110" s="5" t="s">
        <v>395</v>
      </c>
      <c r="AY110" s="5" t="s">
        <v>395</v>
      </c>
      <c r="AZ110" s="5" t="s">
        <v>395</v>
      </c>
      <c r="BA110" s="5" t="s">
        <v>395</v>
      </c>
      <c r="BB110" s="5" t="s">
        <v>395</v>
      </c>
      <c r="BC110" s="5" t="s">
        <v>395</v>
      </c>
      <c r="BD110" s="5" t="s">
        <v>395</v>
      </c>
      <c r="BE110" s="5" t="s">
        <v>395</v>
      </c>
      <c r="BF110" s="5" t="s">
        <v>395</v>
      </c>
      <c r="BG110" s="5" t="s">
        <v>395</v>
      </c>
      <c r="BH110" s="5" t="s">
        <v>395</v>
      </c>
      <c r="BI110" s="5" t="s">
        <v>395</v>
      </c>
      <c r="BJ110" s="5" t="s">
        <v>395</v>
      </c>
      <c r="BK110" s="5" t="s">
        <v>395</v>
      </c>
      <c r="BL110" s="5" t="s">
        <v>395</v>
      </c>
      <c r="BM110" s="5" t="s">
        <v>395</v>
      </c>
      <c r="BN110" s="5">
        <v>37</v>
      </c>
      <c r="BO110" s="5" t="s">
        <v>395</v>
      </c>
      <c r="BP110" s="5" t="s">
        <v>395</v>
      </c>
      <c r="BQ110" s="5" t="s">
        <v>395</v>
      </c>
      <c r="BR110" s="5" t="s">
        <v>395</v>
      </c>
      <c r="BS110" s="5" t="s">
        <v>395</v>
      </c>
      <c r="BT110" s="5" t="s">
        <v>395</v>
      </c>
      <c r="BU110" s="5" t="s">
        <v>395</v>
      </c>
      <c r="BV110" s="5" t="s">
        <v>395</v>
      </c>
      <c r="BW110" s="5" t="s">
        <v>395</v>
      </c>
      <c r="BX110" s="5" t="s">
        <v>395</v>
      </c>
      <c r="BY110" s="5" t="s">
        <v>395</v>
      </c>
      <c r="BZ110" s="5" t="s">
        <v>395</v>
      </c>
      <c r="CA110" s="5" t="s">
        <v>395</v>
      </c>
      <c r="CB110" s="5" t="s">
        <v>395</v>
      </c>
      <c r="CC110" s="5" t="s">
        <v>395</v>
      </c>
      <c r="CD110" s="5" t="s">
        <v>395</v>
      </c>
      <c r="CE110" s="5" t="s">
        <v>395</v>
      </c>
      <c r="CF110" s="5" t="s">
        <v>395</v>
      </c>
      <c r="CG110" s="5" t="s">
        <v>395</v>
      </c>
      <c r="CH110" s="5" t="s">
        <v>395</v>
      </c>
      <c r="CI110" s="5" t="s">
        <v>395</v>
      </c>
      <c r="CJ110" s="5" t="s">
        <v>395</v>
      </c>
      <c r="CK110" s="5" t="s">
        <v>395</v>
      </c>
      <c r="CL110" s="5" t="s">
        <v>395</v>
      </c>
      <c r="CM110" s="5" t="s">
        <v>395</v>
      </c>
      <c r="CN110" s="5" t="s">
        <v>395</v>
      </c>
      <c r="CO110" s="5" t="s">
        <v>395</v>
      </c>
      <c r="CP110" s="5" t="s">
        <v>395</v>
      </c>
      <c r="CQ110" s="5" t="s">
        <v>395</v>
      </c>
      <c r="CR110" s="5" t="s">
        <v>395</v>
      </c>
      <c r="CS110" s="5" t="s">
        <v>395</v>
      </c>
      <c r="CT110" s="5" t="s">
        <v>395</v>
      </c>
      <c r="CU110" s="5" t="s">
        <v>395</v>
      </c>
      <c r="CV110" s="5" t="s">
        <v>395</v>
      </c>
      <c r="CW110" s="5" t="s">
        <v>395</v>
      </c>
      <c r="CX110" s="5" t="s">
        <v>395</v>
      </c>
      <c r="CY110" s="252" t="s">
        <v>395</v>
      </c>
    </row>
    <row r="111" spans="1:103" x14ac:dyDescent="0.3">
      <c r="A111" s="26" t="s">
        <v>7</v>
      </c>
      <c r="B111" s="14" t="s">
        <v>7</v>
      </c>
      <c r="C111" s="14" t="s">
        <v>20</v>
      </c>
      <c r="G111" s="22">
        <v>43691</v>
      </c>
      <c r="H111" s="16">
        <v>2019</v>
      </c>
      <c r="I111" s="121" t="s">
        <v>33</v>
      </c>
      <c r="J111" s="121">
        <v>10</v>
      </c>
      <c r="K111" s="251">
        <v>0.41477587729210202</v>
      </c>
      <c r="L111" s="5" t="s">
        <v>395</v>
      </c>
      <c r="M111" s="5">
        <v>3.9912120102526552E-2</v>
      </c>
      <c r="N111" s="5">
        <v>0.21645917246429877</v>
      </c>
      <c r="O111" s="5">
        <v>0.91005126327352626</v>
      </c>
      <c r="P111" s="5">
        <v>0.90675576711827177</v>
      </c>
      <c r="Q111" s="5">
        <v>2.3846759428780668</v>
      </c>
      <c r="R111" s="5">
        <v>2.0504393994873675</v>
      </c>
      <c r="S111" s="5">
        <v>0.86931526913218604</v>
      </c>
      <c r="T111" s="5">
        <v>7.3776089344562443</v>
      </c>
      <c r="U111" s="5">
        <f t="shared" si="56"/>
        <v>78.004212896654707</v>
      </c>
      <c r="V111" s="5">
        <f t="shared" si="72"/>
        <v>6.4999999999999997E-3</v>
      </c>
      <c r="W111" s="5">
        <v>6.9075613465190408E-2</v>
      </c>
      <c r="X111" s="5">
        <v>2.1512760275296073E-2</v>
      </c>
      <c r="Y111" s="5">
        <v>2.9993879133061476E-2</v>
      </c>
      <c r="Z111" s="5">
        <v>2.6511740130806316E-2</v>
      </c>
      <c r="AA111" s="5">
        <f t="shared" si="83"/>
        <v>0.01</v>
      </c>
      <c r="AB111" s="5">
        <f t="shared" si="84"/>
        <v>6.4999999999999997E-3</v>
      </c>
      <c r="AC111" s="5">
        <f t="shared" si="75"/>
        <v>0.05</v>
      </c>
      <c r="AD111" s="5">
        <v>0.14709399300435427</v>
      </c>
      <c r="AE111" s="5">
        <f t="shared" si="82"/>
        <v>0.14358225287354798</v>
      </c>
      <c r="AF111" s="5">
        <v>1.6477480776272427E-2</v>
      </c>
      <c r="AG111" s="250">
        <f>AF111*(5/K111)</f>
        <v>0.19863113645671726</v>
      </c>
      <c r="AH111" s="250">
        <v>5.1242751229538275</v>
      </c>
      <c r="AI111" s="5">
        <f t="shared" si="76"/>
        <v>0.1</v>
      </c>
      <c r="AJ111" s="5">
        <f t="shared" si="77"/>
        <v>0.05</v>
      </c>
      <c r="AK111" s="5">
        <f t="shared" si="78"/>
        <v>0.1</v>
      </c>
      <c r="AL111" s="5">
        <f t="shared" si="78"/>
        <v>0.1</v>
      </c>
      <c r="AM111" s="5">
        <f t="shared" si="79"/>
        <v>0.15</v>
      </c>
      <c r="AN111" s="5">
        <v>1.1640607795639726</v>
      </c>
      <c r="AO111" s="5">
        <v>0.542274095280041</v>
      </c>
      <c r="AP111" s="5">
        <f t="shared" si="80"/>
        <v>0.1</v>
      </c>
      <c r="AQ111" s="5">
        <v>0.72747069906285933</v>
      </c>
      <c r="AR111" s="5">
        <f>0.5*0.1</f>
        <v>0.05</v>
      </c>
      <c r="AS111" s="5" t="s">
        <v>395</v>
      </c>
      <c r="AT111" s="5" t="s">
        <v>395</v>
      </c>
      <c r="AU111" s="5" t="s">
        <v>395</v>
      </c>
      <c r="AV111" s="5" t="s">
        <v>395</v>
      </c>
      <c r="AW111" s="5" t="s">
        <v>395</v>
      </c>
      <c r="AX111" s="5" t="s">
        <v>395</v>
      </c>
      <c r="AY111" s="5" t="s">
        <v>395</v>
      </c>
      <c r="AZ111" s="5" t="s">
        <v>395</v>
      </c>
      <c r="BA111" s="5" t="s">
        <v>395</v>
      </c>
      <c r="BB111" s="5" t="s">
        <v>395</v>
      </c>
      <c r="BC111" s="5" t="s">
        <v>395</v>
      </c>
      <c r="BD111" s="5" t="s">
        <v>395</v>
      </c>
      <c r="BE111" s="5" t="s">
        <v>395</v>
      </c>
      <c r="BF111" s="5" t="s">
        <v>395</v>
      </c>
      <c r="BG111" s="5" t="s">
        <v>395</v>
      </c>
      <c r="BH111" s="5" t="s">
        <v>395</v>
      </c>
      <c r="BI111" s="5" t="s">
        <v>395</v>
      </c>
      <c r="BJ111" s="5" t="s">
        <v>395</v>
      </c>
      <c r="BK111" s="5" t="s">
        <v>395</v>
      </c>
      <c r="BL111" s="5" t="s">
        <v>395</v>
      </c>
      <c r="BM111" s="5" t="s">
        <v>395</v>
      </c>
      <c r="BN111" s="5">
        <v>140</v>
      </c>
      <c r="BO111" s="5" t="s">
        <v>395</v>
      </c>
      <c r="BP111" s="5" t="s">
        <v>395</v>
      </c>
      <c r="BQ111" s="5" t="s">
        <v>395</v>
      </c>
      <c r="BR111" s="5" t="s">
        <v>395</v>
      </c>
      <c r="BS111" s="5" t="s">
        <v>395</v>
      </c>
      <c r="BT111" s="5" t="s">
        <v>395</v>
      </c>
      <c r="BU111" s="5" t="s">
        <v>395</v>
      </c>
      <c r="BV111" s="5" t="s">
        <v>395</v>
      </c>
      <c r="BW111" s="5" t="s">
        <v>395</v>
      </c>
      <c r="BX111" s="5" t="s">
        <v>395</v>
      </c>
      <c r="BY111" s="5" t="s">
        <v>395</v>
      </c>
      <c r="BZ111" s="5" t="s">
        <v>395</v>
      </c>
      <c r="CA111" s="5" t="s">
        <v>395</v>
      </c>
      <c r="CB111" s="5" t="s">
        <v>395</v>
      </c>
      <c r="CC111" s="5" t="s">
        <v>395</v>
      </c>
      <c r="CD111" s="5" t="s">
        <v>395</v>
      </c>
      <c r="CE111" s="5" t="s">
        <v>395</v>
      </c>
      <c r="CF111" s="5" t="s">
        <v>395</v>
      </c>
      <c r="CG111" s="5" t="s">
        <v>395</v>
      </c>
      <c r="CH111" s="5" t="s">
        <v>395</v>
      </c>
      <c r="CI111" s="5" t="s">
        <v>395</v>
      </c>
      <c r="CJ111" s="5" t="s">
        <v>395</v>
      </c>
      <c r="CK111" s="5" t="s">
        <v>395</v>
      </c>
      <c r="CL111" s="5" t="s">
        <v>395</v>
      </c>
      <c r="CM111" s="5" t="s">
        <v>395</v>
      </c>
      <c r="CN111" s="5" t="s">
        <v>395</v>
      </c>
      <c r="CO111" s="5" t="s">
        <v>395</v>
      </c>
      <c r="CP111" s="5" t="s">
        <v>395</v>
      </c>
      <c r="CQ111" s="5" t="s">
        <v>395</v>
      </c>
      <c r="CR111" s="5" t="s">
        <v>395</v>
      </c>
      <c r="CS111" s="5" t="s">
        <v>395</v>
      </c>
      <c r="CT111" s="5" t="s">
        <v>395</v>
      </c>
      <c r="CU111" s="5" t="s">
        <v>395</v>
      </c>
      <c r="CV111" s="5" t="s">
        <v>395</v>
      </c>
      <c r="CW111" s="5" t="s">
        <v>395</v>
      </c>
      <c r="CX111" s="5" t="s">
        <v>395</v>
      </c>
      <c r="CY111" s="252" t="s">
        <v>395</v>
      </c>
    </row>
    <row r="112" spans="1:103" x14ac:dyDescent="0.3">
      <c r="A112" s="26" t="s">
        <v>8</v>
      </c>
      <c r="B112" s="14" t="s">
        <v>8</v>
      </c>
      <c r="C112" s="14" t="s">
        <v>20</v>
      </c>
      <c r="G112" s="22">
        <v>43712</v>
      </c>
      <c r="H112" s="16">
        <v>2019</v>
      </c>
      <c r="I112" s="121" t="s">
        <v>33</v>
      </c>
      <c r="J112" s="121">
        <v>10</v>
      </c>
      <c r="K112" s="251">
        <v>0.42815814850533396</v>
      </c>
      <c r="L112" s="5" t="s">
        <v>395</v>
      </c>
      <c r="M112" s="5">
        <f>0.5*0.015</f>
        <v>7.4999999999999997E-3</v>
      </c>
      <c r="N112" s="5">
        <v>5.5020698950611339E-2</v>
      </c>
      <c r="O112" s="5">
        <v>0.42993164532588812</v>
      </c>
      <c r="P112" s="5">
        <v>0.38628092808318087</v>
      </c>
      <c r="Q112" s="5">
        <v>1.9109078656012319</v>
      </c>
      <c r="R112" s="5">
        <v>1.453643978049485</v>
      </c>
      <c r="S112" s="5">
        <v>0.82737075190141518</v>
      </c>
      <c r="T112" s="5">
        <v>5.0631558679118127</v>
      </c>
      <c r="U112" s="5">
        <f t="shared" si="56"/>
        <v>54.703792934706627</v>
      </c>
      <c r="V112" s="5">
        <f t="shared" si="72"/>
        <v>6.4999999999999997E-3</v>
      </c>
      <c r="W112" s="5">
        <v>4.1963125618521668E-2</v>
      </c>
      <c r="X112" s="5">
        <v>1.8856955595146985E-2</v>
      </c>
      <c r="Y112" s="5">
        <v>3.8942599699661018E-2</v>
      </c>
      <c r="Z112" s="5">
        <f>0.5*0.01</f>
        <v>5.0000000000000001E-3</v>
      </c>
      <c r="AA112" s="5">
        <f t="shared" si="83"/>
        <v>0.01</v>
      </c>
      <c r="AB112" s="5">
        <f t="shared" si="84"/>
        <v>6.4999999999999997E-3</v>
      </c>
      <c r="AC112" s="5">
        <f t="shared" si="75"/>
        <v>0.05</v>
      </c>
      <c r="AD112" s="5">
        <v>9.9762680913329668E-2</v>
      </c>
      <c r="AE112" s="5">
        <f t="shared" si="82"/>
        <v>0.12276268091332967</v>
      </c>
      <c r="AF112" s="5">
        <f>0.5*0.01</f>
        <v>5.0000000000000001E-3</v>
      </c>
      <c r="AG112" s="250" t="s">
        <v>395</v>
      </c>
      <c r="AH112" s="250">
        <v>14.363227170428972</v>
      </c>
      <c r="AI112" s="5">
        <f t="shared" si="76"/>
        <v>0.1</v>
      </c>
      <c r="AJ112" s="5">
        <f t="shared" si="77"/>
        <v>0.05</v>
      </c>
      <c r="AK112" s="5">
        <f t="shared" si="78"/>
        <v>0.1</v>
      </c>
      <c r="AL112" s="5">
        <f t="shared" si="78"/>
        <v>0.1</v>
      </c>
      <c r="AM112" s="5">
        <f t="shared" si="79"/>
        <v>0.15</v>
      </c>
      <c r="AN112" s="5">
        <v>2.4795744390643115</v>
      </c>
      <c r="AO112" s="5">
        <v>0.37764441110277569</v>
      </c>
      <c r="AP112" s="5">
        <f t="shared" si="80"/>
        <v>0.1</v>
      </c>
      <c r="AQ112" s="5">
        <v>0.88047011752938253</v>
      </c>
      <c r="AR112" s="5">
        <f>0.5*0.1</f>
        <v>0.05</v>
      </c>
      <c r="AS112" s="5" t="s">
        <v>395</v>
      </c>
      <c r="AT112" s="5" t="s">
        <v>395</v>
      </c>
      <c r="AU112" s="5" t="s">
        <v>395</v>
      </c>
      <c r="AV112" s="5" t="s">
        <v>395</v>
      </c>
      <c r="AW112" s="5" t="s">
        <v>395</v>
      </c>
      <c r="AX112" s="5" t="s">
        <v>395</v>
      </c>
      <c r="AY112" s="5" t="s">
        <v>395</v>
      </c>
      <c r="AZ112" s="5" t="s">
        <v>395</v>
      </c>
      <c r="BA112" s="5" t="s">
        <v>395</v>
      </c>
      <c r="BB112" s="5" t="s">
        <v>395</v>
      </c>
      <c r="BC112" s="5" t="s">
        <v>395</v>
      </c>
      <c r="BD112" s="5" t="s">
        <v>395</v>
      </c>
      <c r="BE112" s="5" t="s">
        <v>395</v>
      </c>
      <c r="BF112" s="5" t="s">
        <v>395</v>
      </c>
      <c r="BG112" s="5" t="s">
        <v>395</v>
      </c>
      <c r="BH112" s="5" t="s">
        <v>395</v>
      </c>
      <c r="BI112" s="5" t="s">
        <v>395</v>
      </c>
      <c r="BJ112" s="5" t="s">
        <v>395</v>
      </c>
      <c r="BK112" s="5" t="s">
        <v>395</v>
      </c>
      <c r="BL112" s="5" t="s">
        <v>395</v>
      </c>
      <c r="BM112" s="5" t="s">
        <v>395</v>
      </c>
      <c r="BN112" s="5">
        <v>120</v>
      </c>
      <c r="BO112" s="5" t="s">
        <v>395</v>
      </c>
      <c r="BP112" s="5" t="s">
        <v>395</v>
      </c>
      <c r="BQ112" s="5" t="s">
        <v>395</v>
      </c>
      <c r="BR112" s="5" t="s">
        <v>395</v>
      </c>
      <c r="BS112" s="5" t="s">
        <v>395</v>
      </c>
      <c r="BT112" s="5" t="s">
        <v>395</v>
      </c>
      <c r="BU112" s="5" t="s">
        <v>395</v>
      </c>
      <c r="BV112" s="5" t="s">
        <v>395</v>
      </c>
      <c r="BW112" s="5" t="s">
        <v>395</v>
      </c>
      <c r="BX112" s="5" t="s">
        <v>395</v>
      </c>
      <c r="BY112" s="5" t="s">
        <v>395</v>
      </c>
      <c r="BZ112" s="5" t="s">
        <v>395</v>
      </c>
      <c r="CA112" s="5" t="s">
        <v>395</v>
      </c>
      <c r="CB112" s="5" t="s">
        <v>395</v>
      </c>
      <c r="CC112" s="5" t="s">
        <v>395</v>
      </c>
      <c r="CD112" s="5" t="s">
        <v>395</v>
      </c>
      <c r="CE112" s="5" t="s">
        <v>395</v>
      </c>
      <c r="CF112" s="5" t="s">
        <v>395</v>
      </c>
      <c r="CG112" s="5" t="s">
        <v>395</v>
      </c>
      <c r="CH112" s="5" t="s">
        <v>395</v>
      </c>
      <c r="CI112" s="5" t="s">
        <v>395</v>
      </c>
      <c r="CJ112" s="5" t="s">
        <v>395</v>
      </c>
      <c r="CK112" s="5" t="s">
        <v>395</v>
      </c>
      <c r="CL112" s="5" t="s">
        <v>395</v>
      </c>
      <c r="CM112" s="5" t="s">
        <v>395</v>
      </c>
      <c r="CN112" s="5" t="s">
        <v>395</v>
      </c>
      <c r="CO112" s="5" t="s">
        <v>395</v>
      </c>
      <c r="CP112" s="5" t="s">
        <v>395</v>
      </c>
      <c r="CQ112" s="5" t="s">
        <v>395</v>
      </c>
      <c r="CR112" s="5" t="s">
        <v>395</v>
      </c>
      <c r="CS112" s="5" t="s">
        <v>395</v>
      </c>
      <c r="CT112" s="5" t="s">
        <v>395</v>
      </c>
      <c r="CU112" s="5" t="s">
        <v>395</v>
      </c>
      <c r="CV112" s="5" t="s">
        <v>395</v>
      </c>
      <c r="CW112" s="5" t="s">
        <v>395</v>
      </c>
      <c r="CX112" s="5" t="s">
        <v>395</v>
      </c>
      <c r="CY112" s="252" t="s">
        <v>395</v>
      </c>
    </row>
    <row r="113" spans="1:103" x14ac:dyDescent="0.3">
      <c r="A113" s="26" t="s">
        <v>29</v>
      </c>
      <c r="B113" s="14" t="s">
        <v>29</v>
      </c>
      <c r="C113" s="14" t="s">
        <v>20</v>
      </c>
      <c r="G113" s="22">
        <v>43703</v>
      </c>
      <c r="H113" s="16">
        <v>2019</v>
      </c>
      <c r="I113" s="121" t="s">
        <v>33</v>
      </c>
      <c r="J113" s="121">
        <v>10</v>
      </c>
      <c r="K113" s="251">
        <v>0.25776381066721099</v>
      </c>
      <c r="L113" s="5" t="s">
        <v>395</v>
      </c>
      <c r="M113" s="5">
        <v>1.8235294117647058E-2</v>
      </c>
      <c r="N113" s="5">
        <v>5.033088235294117E-2</v>
      </c>
      <c r="O113" s="5">
        <v>0.31844669117647056</v>
      </c>
      <c r="P113" s="5">
        <v>0.35080882352941178</v>
      </c>
      <c r="Q113" s="5">
        <v>1.0370863970588236</v>
      </c>
      <c r="R113" s="5">
        <v>0.78079044117647045</v>
      </c>
      <c r="S113" s="5">
        <v>0.3138786764705882</v>
      </c>
      <c r="T113" s="5">
        <v>2.869577205882353</v>
      </c>
      <c r="U113" s="5">
        <f t="shared" si="56"/>
        <v>48.858068474259689</v>
      </c>
      <c r="V113" s="5">
        <f t="shared" si="72"/>
        <v>6.4999999999999997E-3</v>
      </c>
      <c r="W113" s="5">
        <v>3.6886673667901416E-2</v>
      </c>
      <c r="X113" s="5">
        <f>0.5*0.013</f>
        <v>6.4999999999999997E-3</v>
      </c>
      <c r="Y113" s="5">
        <v>2.4130546386092033E-2</v>
      </c>
      <c r="Z113" s="5">
        <f>0.5*0.01</f>
        <v>5.0000000000000001E-3</v>
      </c>
      <c r="AA113" s="5">
        <f t="shared" si="83"/>
        <v>0.01</v>
      </c>
      <c r="AB113" s="5">
        <f t="shared" si="84"/>
        <v>6.4999999999999997E-3</v>
      </c>
      <c r="AC113" s="5">
        <f t="shared" si="75"/>
        <v>0.05</v>
      </c>
      <c r="AD113" s="5">
        <v>6.1017220053993446E-2</v>
      </c>
      <c r="AE113" s="5">
        <f t="shared" si="82"/>
        <v>9.0517220053993458E-2</v>
      </c>
      <c r="AF113" s="5">
        <v>3.4742647058823524E-2</v>
      </c>
      <c r="AG113" s="250">
        <f>AF113*(5/K113)</f>
        <v>0.67392406577350039</v>
      </c>
      <c r="AH113" s="250">
        <v>23.714265821903503</v>
      </c>
      <c r="AI113" s="5">
        <f t="shared" si="76"/>
        <v>0.1</v>
      </c>
      <c r="AJ113" s="5">
        <f t="shared" si="77"/>
        <v>0.05</v>
      </c>
      <c r="AK113" s="5">
        <f t="shared" si="78"/>
        <v>0.1</v>
      </c>
      <c r="AL113" s="5">
        <f t="shared" si="78"/>
        <v>0.1</v>
      </c>
      <c r="AM113" s="5">
        <f t="shared" si="79"/>
        <v>0.15</v>
      </c>
      <c r="AN113" s="5">
        <v>2.5174406461045744</v>
      </c>
      <c r="AO113" s="5">
        <v>0.4015456380978904</v>
      </c>
      <c r="AP113" s="5">
        <f t="shared" si="80"/>
        <v>0.1</v>
      </c>
      <c r="AQ113" s="5">
        <v>0.7874631576504445</v>
      </c>
      <c r="AR113" s="5">
        <v>0.10547007356866021</v>
      </c>
      <c r="AS113" s="5" t="s">
        <v>395</v>
      </c>
      <c r="AT113" s="5" t="s">
        <v>395</v>
      </c>
      <c r="AU113" s="5" t="s">
        <v>395</v>
      </c>
      <c r="AV113" s="5" t="s">
        <v>395</v>
      </c>
      <c r="AW113" s="5" t="s">
        <v>395</v>
      </c>
      <c r="AX113" s="5" t="s">
        <v>395</v>
      </c>
      <c r="AY113" s="5" t="s">
        <v>395</v>
      </c>
      <c r="AZ113" s="5" t="s">
        <v>395</v>
      </c>
      <c r="BA113" s="5" t="s">
        <v>395</v>
      </c>
      <c r="BB113" s="5" t="s">
        <v>395</v>
      </c>
      <c r="BC113" s="5" t="s">
        <v>395</v>
      </c>
      <c r="BD113" s="5" t="s">
        <v>395</v>
      </c>
      <c r="BE113" s="5" t="s">
        <v>395</v>
      </c>
      <c r="BF113" s="5" t="s">
        <v>395</v>
      </c>
      <c r="BG113" s="5" t="s">
        <v>395</v>
      </c>
      <c r="BH113" s="5" t="s">
        <v>395</v>
      </c>
      <c r="BI113" s="5" t="s">
        <v>395</v>
      </c>
      <c r="BJ113" s="5" t="s">
        <v>395</v>
      </c>
      <c r="BK113" s="5" t="s">
        <v>395</v>
      </c>
      <c r="BL113" s="5" t="s">
        <v>395</v>
      </c>
      <c r="BM113" s="5" t="s">
        <v>395</v>
      </c>
      <c r="BN113" s="5">
        <v>64</v>
      </c>
      <c r="BO113" s="5" t="s">
        <v>395</v>
      </c>
      <c r="BP113" s="5" t="s">
        <v>395</v>
      </c>
      <c r="BQ113" s="5" t="s">
        <v>395</v>
      </c>
      <c r="BR113" s="5" t="s">
        <v>395</v>
      </c>
      <c r="BS113" s="5" t="s">
        <v>395</v>
      </c>
      <c r="BT113" s="5" t="s">
        <v>395</v>
      </c>
      <c r="BU113" s="5" t="s">
        <v>395</v>
      </c>
      <c r="BV113" s="5" t="s">
        <v>395</v>
      </c>
      <c r="BW113" s="5" t="s">
        <v>395</v>
      </c>
      <c r="BX113" s="5" t="s">
        <v>395</v>
      </c>
      <c r="BY113" s="5" t="s">
        <v>395</v>
      </c>
      <c r="BZ113" s="5" t="s">
        <v>395</v>
      </c>
      <c r="CA113" s="5" t="s">
        <v>395</v>
      </c>
      <c r="CB113" s="5" t="s">
        <v>395</v>
      </c>
      <c r="CC113" s="5" t="s">
        <v>395</v>
      </c>
      <c r="CD113" s="5" t="s">
        <v>395</v>
      </c>
      <c r="CE113" s="5" t="s">
        <v>395</v>
      </c>
      <c r="CF113" s="5" t="s">
        <v>395</v>
      </c>
      <c r="CG113" s="5" t="s">
        <v>395</v>
      </c>
      <c r="CH113" s="5" t="s">
        <v>395</v>
      </c>
      <c r="CI113" s="5" t="s">
        <v>395</v>
      </c>
      <c r="CJ113" s="5" t="s">
        <v>395</v>
      </c>
      <c r="CK113" s="5" t="s">
        <v>395</v>
      </c>
      <c r="CL113" s="5" t="s">
        <v>395</v>
      </c>
      <c r="CM113" s="5" t="s">
        <v>395</v>
      </c>
      <c r="CN113" s="5" t="s">
        <v>395</v>
      </c>
      <c r="CO113" s="5" t="s">
        <v>395</v>
      </c>
      <c r="CP113" s="5" t="s">
        <v>395</v>
      </c>
      <c r="CQ113" s="5" t="s">
        <v>395</v>
      </c>
      <c r="CR113" s="5" t="s">
        <v>395</v>
      </c>
      <c r="CS113" s="5" t="s">
        <v>395</v>
      </c>
      <c r="CT113" s="5" t="s">
        <v>395</v>
      </c>
      <c r="CU113" s="5" t="s">
        <v>395</v>
      </c>
      <c r="CV113" s="5" t="s">
        <v>395</v>
      </c>
      <c r="CW113" s="5" t="s">
        <v>395</v>
      </c>
      <c r="CX113" s="5" t="s">
        <v>395</v>
      </c>
      <c r="CY113" s="252" t="s">
        <v>395</v>
      </c>
    </row>
    <row r="114" spans="1:103" x14ac:dyDescent="0.3">
      <c r="A114" s="26" t="s">
        <v>30</v>
      </c>
      <c r="B114" s="14" t="s">
        <v>30</v>
      </c>
      <c r="C114" s="14" t="s">
        <v>20</v>
      </c>
      <c r="G114" s="22">
        <v>43720</v>
      </c>
      <c r="H114" s="16">
        <v>2019</v>
      </c>
      <c r="I114" s="121" t="s">
        <v>33</v>
      </c>
      <c r="J114" s="121">
        <v>5</v>
      </c>
      <c r="K114" s="251">
        <v>0.34338783314476201</v>
      </c>
      <c r="L114" s="5" t="s">
        <v>395</v>
      </c>
      <c r="M114" s="5">
        <v>0.32939973412414358</v>
      </c>
      <c r="N114" s="5">
        <v>0.81547192964515802</v>
      </c>
      <c r="O114" s="5">
        <v>2.9470600265875859</v>
      </c>
      <c r="P114" s="5">
        <v>2.8493199713672155</v>
      </c>
      <c r="Q114" s="5">
        <v>5.8233766233766229</v>
      </c>
      <c r="R114" s="5">
        <v>5.3956437263523878</v>
      </c>
      <c r="S114" s="5">
        <v>1.7062480826260356</v>
      </c>
      <c r="T114" s="5">
        <v>19.866520094079149</v>
      </c>
      <c r="U114" s="5">
        <f t="shared" si="56"/>
        <v>247.78397019585131</v>
      </c>
      <c r="V114" s="5">
        <f t="shared" si="72"/>
        <v>6.4999999999999997E-3</v>
      </c>
      <c r="W114" s="5">
        <v>6.7278790660348614E-2</v>
      </c>
      <c r="X114" s="5">
        <v>2.9757371587653122E-2</v>
      </c>
      <c r="Y114" s="5">
        <v>4.3582571384438613E-2</v>
      </c>
      <c r="Z114" s="5">
        <f>0.5*0.01</f>
        <v>5.0000000000000001E-3</v>
      </c>
      <c r="AA114" s="5">
        <v>2.0737799695178239E-2</v>
      </c>
      <c r="AB114" s="5">
        <v>1.5398213134833114E-2</v>
      </c>
      <c r="AC114" s="5">
        <f t="shared" si="75"/>
        <v>0.05</v>
      </c>
      <c r="AD114" s="5">
        <v>0.17675474646245171</v>
      </c>
      <c r="AE114" s="5">
        <f t="shared" si="82"/>
        <v>0.18325474646245171</v>
      </c>
      <c r="AF114" s="5">
        <f>0.5*0.01</f>
        <v>5.0000000000000001E-3</v>
      </c>
      <c r="AG114" s="250" t="s">
        <v>395</v>
      </c>
      <c r="AH114" s="250">
        <v>21.903546099290782</v>
      </c>
      <c r="AI114" s="5">
        <f t="shared" si="76"/>
        <v>0.1</v>
      </c>
      <c r="AJ114" s="5">
        <f t="shared" si="77"/>
        <v>0.05</v>
      </c>
      <c r="AK114" s="5">
        <f t="shared" si="78"/>
        <v>0.1</v>
      </c>
      <c r="AL114" s="5">
        <f t="shared" si="78"/>
        <v>0.1</v>
      </c>
      <c r="AM114" s="5">
        <f t="shared" si="79"/>
        <v>0.15</v>
      </c>
      <c r="AN114" s="5">
        <v>2.1665484633569743</v>
      </c>
      <c r="AO114" s="5">
        <v>0.54358156028368798</v>
      </c>
      <c r="AP114" s="5">
        <f t="shared" si="80"/>
        <v>0.1</v>
      </c>
      <c r="AQ114" s="5">
        <v>0.88122537431048076</v>
      </c>
      <c r="AR114" s="5">
        <f t="shared" ref="AR114:AR122" si="85">0.5*0.1</f>
        <v>0.05</v>
      </c>
      <c r="AS114" s="5" t="s">
        <v>395</v>
      </c>
      <c r="AT114" s="5" t="s">
        <v>395</v>
      </c>
      <c r="AU114" s="5" t="s">
        <v>395</v>
      </c>
      <c r="AV114" s="5" t="s">
        <v>395</v>
      </c>
      <c r="AW114" s="5" t="s">
        <v>395</v>
      </c>
      <c r="AX114" s="5" t="s">
        <v>395</v>
      </c>
      <c r="AY114" s="5" t="s">
        <v>395</v>
      </c>
      <c r="AZ114" s="5" t="s">
        <v>395</v>
      </c>
      <c r="BA114" s="5" t="s">
        <v>395</v>
      </c>
      <c r="BB114" s="5" t="s">
        <v>395</v>
      </c>
      <c r="BC114" s="5" t="s">
        <v>395</v>
      </c>
      <c r="BD114" s="5" t="s">
        <v>395</v>
      </c>
      <c r="BE114" s="5" t="s">
        <v>395</v>
      </c>
      <c r="BF114" s="5" t="s">
        <v>395</v>
      </c>
      <c r="BG114" s="5" t="s">
        <v>395</v>
      </c>
      <c r="BH114" s="5" t="s">
        <v>395</v>
      </c>
      <c r="BI114" s="5" t="s">
        <v>395</v>
      </c>
      <c r="BJ114" s="5" t="s">
        <v>395</v>
      </c>
      <c r="BK114" s="5" t="s">
        <v>395</v>
      </c>
      <c r="BL114" s="5" t="s">
        <v>395</v>
      </c>
      <c r="BM114" s="5" t="s">
        <v>395</v>
      </c>
      <c r="BN114" s="5">
        <v>80</v>
      </c>
      <c r="BO114" s="5" t="s">
        <v>395</v>
      </c>
      <c r="BP114" s="5" t="s">
        <v>395</v>
      </c>
      <c r="BQ114" s="5" t="s">
        <v>395</v>
      </c>
      <c r="BR114" s="5" t="s">
        <v>395</v>
      </c>
      <c r="BS114" s="5" t="s">
        <v>395</v>
      </c>
      <c r="BT114" s="5" t="s">
        <v>395</v>
      </c>
      <c r="BU114" s="5" t="s">
        <v>395</v>
      </c>
      <c r="BV114" s="5" t="s">
        <v>395</v>
      </c>
      <c r="BW114" s="5" t="s">
        <v>395</v>
      </c>
      <c r="BX114" s="5" t="s">
        <v>395</v>
      </c>
      <c r="BY114" s="5" t="s">
        <v>395</v>
      </c>
      <c r="BZ114" s="5" t="s">
        <v>395</v>
      </c>
      <c r="CA114" s="5" t="s">
        <v>395</v>
      </c>
      <c r="CB114" s="5" t="s">
        <v>395</v>
      </c>
      <c r="CC114" s="5" t="s">
        <v>395</v>
      </c>
      <c r="CD114" s="5" t="s">
        <v>395</v>
      </c>
      <c r="CE114" s="5" t="s">
        <v>395</v>
      </c>
      <c r="CF114" s="5" t="s">
        <v>395</v>
      </c>
      <c r="CG114" s="5" t="s">
        <v>395</v>
      </c>
      <c r="CH114" s="5" t="s">
        <v>395</v>
      </c>
      <c r="CI114" s="5" t="s">
        <v>395</v>
      </c>
      <c r="CJ114" s="5" t="s">
        <v>395</v>
      </c>
      <c r="CK114" s="5" t="s">
        <v>395</v>
      </c>
      <c r="CL114" s="5" t="s">
        <v>395</v>
      </c>
      <c r="CM114" s="5" t="s">
        <v>395</v>
      </c>
      <c r="CN114" s="5" t="s">
        <v>395</v>
      </c>
      <c r="CO114" s="5" t="s">
        <v>395</v>
      </c>
      <c r="CP114" s="5" t="s">
        <v>395</v>
      </c>
      <c r="CQ114" s="5" t="s">
        <v>395</v>
      </c>
      <c r="CR114" s="5" t="s">
        <v>395</v>
      </c>
      <c r="CS114" s="5" t="s">
        <v>395</v>
      </c>
      <c r="CT114" s="5" t="s">
        <v>395</v>
      </c>
      <c r="CU114" s="5" t="s">
        <v>395</v>
      </c>
      <c r="CV114" s="5" t="s">
        <v>395</v>
      </c>
      <c r="CW114" s="5" t="s">
        <v>395</v>
      </c>
      <c r="CX114" s="5" t="s">
        <v>395</v>
      </c>
      <c r="CY114" s="252" t="s">
        <v>395</v>
      </c>
    </row>
    <row r="115" spans="1:103" x14ac:dyDescent="0.3">
      <c r="A115" s="26" t="s">
        <v>9</v>
      </c>
      <c r="B115" s="14" t="s">
        <v>9</v>
      </c>
      <c r="C115" s="14" t="s">
        <v>20</v>
      </c>
      <c r="G115" s="22">
        <v>43693</v>
      </c>
      <c r="H115" s="16">
        <v>2019</v>
      </c>
      <c r="I115" s="121" t="s">
        <v>33</v>
      </c>
      <c r="J115" s="121">
        <v>10</v>
      </c>
      <c r="K115" s="251">
        <v>0.38279621612951198</v>
      </c>
      <c r="L115" s="5" t="s">
        <v>395</v>
      </c>
      <c r="M115" s="5">
        <f>0.5*0.015</f>
        <v>7.4999999999999997E-3</v>
      </c>
      <c r="N115" s="5">
        <v>0.12531170805879371</v>
      </c>
      <c r="O115" s="5">
        <v>0.70715661429295495</v>
      </c>
      <c r="P115" s="5">
        <v>0.47839837810440955</v>
      </c>
      <c r="Q115" s="5">
        <v>2.0338773441459703</v>
      </c>
      <c r="R115" s="5">
        <v>1.7000506842372023</v>
      </c>
      <c r="S115" s="5">
        <v>0.71883426254434868</v>
      </c>
      <c r="T115" s="5">
        <v>5.7636289913836798</v>
      </c>
      <c r="U115" s="5">
        <f t="shared" si="56"/>
        <v>69.1324834241383</v>
      </c>
      <c r="V115" s="5">
        <f t="shared" si="72"/>
        <v>6.4999999999999997E-3</v>
      </c>
      <c r="W115" s="5">
        <v>3.7533461434296971E-2</v>
      </c>
      <c r="X115" s="5">
        <v>1.8260685769526004E-2</v>
      </c>
      <c r="Y115" s="5">
        <v>3.1073313166775973E-2</v>
      </c>
      <c r="Z115" s="5">
        <v>4.746055593872088E-2</v>
      </c>
      <c r="AA115" s="5">
        <f>0.5*0.02</f>
        <v>0.01</v>
      </c>
      <c r="AB115" s="5">
        <f>0.5*0.013</f>
        <v>6.4999999999999997E-3</v>
      </c>
      <c r="AC115" s="5">
        <f t="shared" si="75"/>
        <v>0.05</v>
      </c>
      <c r="AD115" s="5">
        <v>0.13432801630931984</v>
      </c>
      <c r="AE115" s="5">
        <f t="shared" si="82"/>
        <v>0.10986746037059895</v>
      </c>
      <c r="AF115" s="5">
        <f>0.5*0.01</f>
        <v>5.0000000000000001E-3</v>
      </c>
      <c r="AG115" s="250" t="s">
        <v>395</v>
      </c>
      <c r="AH115" s="250">
        <v>2.4312307486272933</v>
      </c>
      <c r="AI115" s="5">
        <f t="shared" si="76"/>
        <v>0.1</v>
      </c>
      <c r="AJ115" s="5">
        <f t="shared" si="77"/>
        <v>0.05</v>
      </c>
      <c r="AK115" s="5">
        <f t="shared" si="78"/>
        <v>0.1</v>
      </c>
      <c r="AL115" s="5">
        <f t="shared" si="78"/>
        <v>0.1</v>
      </c>
      <c r="AM115" s="5">
        <f t="shared" si="79"/>
        <v>0.15</v>
      </c>
      <c r="AN115" s="5">
        <v>0.48600508905852413</v>
      </c>
      <c r="AO115" s="5">
        <f>0.5*0.3</f>
        <v>0.15</v>
      </c>
      <c r="AP115" s="5">
        <f t="shared" si="80"/>
        <v>0.1</v>
      </c>
      <c r="AQ115" s="5">
        <v>0.20090620954421679</v>
      </c>
      <c r="AR115" s="5">
        <f t="shared" si="85"/>
        <v>0.05</v>
      </c>
      <c r="AS115" s="5" t="s">
        <v>395</v>
      </c>
      <c r="AT115" s="5" t="s">
        <v>395</v>
      </c>
      <c r="AU115" s="5" t="s">
        <v>395</v>
      </c>
      <c r="AV115" s="5" t="s">
        <v>395</v>
      </c>
      <c r="AW115" s="5" t="s">
        <v>395</v>
      </c>
      <c r="AX115" s="5" t="s">
        <v>395</v>
      </c>
      <c r="AY115" s="5" t="s">
        <v>395</v>
      </c>
      <c r="AZ115" s="5" t="s">
        <v>395</v>
      </c>
      <c r="BA115" s="5" t="s">
        <v>395</v>
      </c>
      <c r="BB115" s="5" t="s">
        <v>395</v>
      </c>
      <c r="BC115" s="5" t="s">
        <v>395</v>
      </c>
      <c r="BD115" s="5" t="s">
        <v>395</v>
      </c>
      <c r="BE115" s="5" t="s">
        <v>395</v>
      </c>
      <c r="BF115" s="5" t="s">
        <v>395</v>
      </c>
      <c r="BG115" s="5" t="s">
        <v>395</v>
      </c>
      <c r="BH115" s="5" t="s">
        <v>395</v>
      </c>
      <c r="BI115" s="5" t="s">
        <v>395</v>
      </c>
      <c r="BJ115" s="5" t="s">
        <v>395</v>
      </c>
      <c r="BK115" s="5" t="s">
        <v>395</v>
      </c>
      <c r="BL115" s="5" t="s">
        <v>395</v>
      </c>
      <c r="BM115" s="5" t="s">
        <v>395</v>
      </c>
      <c r="BN115" s="5">
        <v>28</v>
      </c>
      <c r="BO115" s="5" t="s">
        <v>395</v>
      </c>
      <c r="BP115" s="5" t="s">
        <v>395</v>
      </c>
      <c r="BQ115" s="5" t="s">
        <v>395</v>
      </c>
      <c r="BR115" s="5" t="s">
        <v>395</v>
      </c>
      <c r="BS115" s="5" t="s">
        <v>395</v>
      </c>
      <c r="BT115" s="5" t="s">
        <v>395</v>
      </c>
      <c r="BU115" s="5" t="s">
        <v>395</v>
      </c>
      <c r="BV115" s="5" t="s">
        <v>395</v>
      </c>
      <c r="BW115" s="5" t="s">
        <v>395</v>
      </c>
      <c r="BX115" s="5" t="s">
        <v>395</v>
      </c>
      <c r="BY115" s="5" t="s">
        <v>395</v>
      </c>
      <c r="BZ115" s="5" t="s">
        <v>395</v>
      </c>
      <c r="CA115" s="5" t="s">
        <v>395</v>
      </c>
      <c r="CB115" s="5" t="s">
        <v>395</v>
      </c>
      <c r="CC115" s="5" t="s">
        <v>395</v>
      </c>
      <c r="CD115" s="5" t="s">
        <v>395</v>
      </c>
      <c r="CE115" s="5" t="s">
        <v>395</v>
      </c>
      <c r="CF115" s="5" t="s">
        <v>395</v>
      </c>
      <c r="CG115" s="5" t="s">
        <v>395</v>
      </c>
      <c r="CH115" s="5" t="s">
        <v>395</v>
      </c>
      <c r="CI115" s="5" t="s">
        <v>395</v>
      </c>
      <c r="CJ115" s="5" t="s">
        <v>395</v>
      </c>
      <c r="CK115" s="5" t="s">
        <v>395</v>
      </c>
      <c r="CL115" s="5" t="s">
        <v>395</v>
      </c>
      <c r="CM115" s="5" t="s">
        <v>395</v>
      </c>
      <c r="CN115" s="5" t="s">
        <v>395</v>
      </c>
      <c r="CO115" s="5" t="s">
        <v>395</v>
      </c>
      <c r="CP115" s="5" t="s">
        <v>395</v>
      </c>
      <c r="CQ115" s="5" t="s">
        <v>395</v>
      </c>
      <c r="CR115" s="5" t="s">
        <v>395</v>
      </c>
      <c r="CS115" s="5" t="s">
        <v>395</v>
      </c>
      <c r="CT115" s="5" t="s">
        <v>395</v>
      </c>
      <c r="CU115" s="5" t="s">
        <v>395</v>
      </c>
      <c r="CV115" s="5" t="s">
        <v>395</v>
      </c>
      <c r="CW115" s="5" t="s">
        <v>395</v>
      </c>
      <c r="CX115" s="5" t="s">
        <v>395</v>
      </c>
      <c r="CY115" s="252" t="s">
        <v>395</v>
      </c>
    </row>
    <row r="116" spans="1:103" x14ac:dyDescent="0.3">
      <c r="A116" s="26" t="s">
        <v>10</v>
      </c>
      <c r="B116" s="14" t="s">
        <v>10</v>
      </c>
      <c r="C116" s="14" t="s">
        <v>20</v>
      </c>
      <c r="G116" s="22">
        <v>43684</v>
      </c>
      <c r="H116" s="16">
        <v>2019</v>
      </c>
      <c r="I116" s="121" t="s">
        <v>33</v>
      </c>
      <c r="J116" s="121">
        <v>10</v>
      </c>
      <c r="K116" s="251">
        <v>0.365732018175774</v>
      </c>
      <c r="L116" s="5" t="s">
        <v>395</v>
      </c>
      <c r="M116" s="5">
        <v>2.372640552060077E-2</v>
      </c>
      <c r="N116" s="5">
        <v>6.8794398213923275E-2</v>
      </c>
      <c r="O116" s="5">
        <v>0.37298558960828093</v>
      </c>
      <c r="P116" s="5">
        <v>0.33863405723564038</v>
      </c>
      <c r="Q116" s="5">
        <v>1.4297138217982546</v>
      </c>
      <c r="R116" s="5">
        <v>1.1498883702049929</v>
      </c>
      <c r="S116" s="5">
        <v>0.47897300588593472</v>
      </c>
      <c r="T116" s="5">
        <v>3.8627156484676273</v>
      </c>
      <c r="U116" s="5">
        <f t="shared" si="56"/>
        <v>48.178466966191117</v>
      </c>
      <c r="V116" s="5">
        <f t="shared" si="72"/>
        <v>6.4999999999999997E-3</v>
      </c>
      <c r="W116" s="5">
        <v>0.11877956305425678</v>
      </c>
      <c r="X116" s="5">
        <v>8.5177941729453185E-2</v>
      </c>
      <c r="Y116" s="5">
        <v>0.1431994329356116</v>
      </c>
      <c r="Z116" s="5">
        <v>4.2798326760831285E-2</v>
      </c>
      <c r="AA116" s="5">
        <v>3.4394182931485662E-2</v>
      </c>
      <c r="AB116" s="5">
        <v>2.5257293465773597E-2</v>
      </c>
      <c r="AC116" s="5">
        <f t="shared" si="75"/>
        <v>0.05</v>
      </c>
      <c r="AD116" s="5">
        <v>0.44960674087741209</v>
      </c>
      <c r="AE116" s="5">
        <f t="shared" si="82"/>
        <v>0.41330841411658081</v>
      </c>
      <c r="AF116" s="5">
        <f>0.5*0.01</f>
        <v>5.0000000000000001E-3</v>
      </c>
      <c r="AG116" s="250" t="s">
        <v>395</v>
      </c>
      <c r="AH116" s="250">
        <v>11.199420132282325</v>
      </c>
      <c r="AI116" s="5">
        <f t="shared" si="76"/>
        <v>0.1</v>
      </c>
      <c r="AJ116" s="5">
        <f t="shared" si="77"/>
        <v>0.05</v>
      </c>
      <c r="AK116" s="5">
        <f t="shared" si="78"/>
        <v>0.1</v>
      </c>
      <c r="AL116" s="5">
        <f t="shared" si="78"/>
        <v>0.1</v>
      </c>
      <c r="AM116" s="5">
        <f t="shared" si="79"/>
        <v>0.15</v>
      </c>
      <c r="AN116" s="5">
        <v>0.61049198151671646</v>
      </c>
      <c r="AO116" s="5">
        <f>0.5*0.3</f>
        <v>0.15</v>
      </c>
      <c r="AP116" s="5">
        <f t="shared" si="80"/>
        <v>0.1</v>
      </c>
      <c r="AQ116" s="5">
        <v>0.31533327293044605</v>
      </c>
      <c r="AR116" s="5">
        <f t="shared" si="85"/>
        <v>0.05</v>
      </c>
      <c r="AS116" s="5" t="s">
        <v>395</v>
      </c>
      <c r="AT116" s="5" t="s">
        <v>395</v>
      </c>
      <c r="AU116" s="5" t="s">
        <v>395</v>
      </c>
      <c r="AV116" s="5" t="s">
        <v>395</v>
      </c>
      <c r="AW116" s="5" t="s">
        <v>395</v>
      </c>
      <c r="AX116" s="5" t="s">
        <v>395</v>
      </c>
      <c r="AY116" s="5" t="s">
        <v>395</v>
      </c>
      <c r="AZ116" s="5" t="s">
        <v>395</v>
      </c>
      <c r="BA116" s="5" t="s">
        <v>395</v>
      </c>
      <c r="BB116" s="5" t="s">
        <v>395</v>
      </c>
      <c r="BC116" s="5" t="s">
        <v>395</v>
      </c>
      <c r="BD116" s="5" t="s">
        <v>395</v>
      </c>
      <c r="BE116" s="5" t="s">
        <v>395</v>
      </c>
      <c r="BF116" s="5" t="s">
        <v>395</v>
      </c>
      <c r="BG116" s="5" t="s">
        <v>395</v>
      </c>
      <c r="BH116" s="5" t="s">
        <v>395</v>
      </c>
      <c r="BI116" s="5" t="s">
        <v>395</v>
      </c>
      <c r="BJ116" s="5" t="s">
        <v>395</v>
      </c>
      <c r="BK116" s="5" t="s">
        <v>395</v>
      </c>
      <c r="BL116" s="5" t="s">
        <v>395</v>
      </c>
      <c r="BM116" s="5" t="s">
        <v>395</v>
      </c>
      <c r="BN116" s="5">
        <v>40</v>
      </c>
      <c r="BO116" s="5" t="s">
        <v>395</v>
      </c>
      <c r="BP116" s="5" t="s">
        <v>395</v>
      </c>
      <c r="BQ116" s="5" t="s">
        <v>395</v>
      </c>
      <c r="BR116" s="5" t="s">
        <v>395</v>
      </c>
      <c r="BS116" s="5" t="s">
        <v>395</v>
      </c>
      <c r="BT116" s="5" t="s">
        <v>395</v>
      </c>
      <c r="BU116" s="5" t="s">
        <v>395</v>
      </c>
      <c r="BV116" s="5" t="s">
        <v>395</v>
      </c>
      <c r="BW116" s="5" t="s">
        <v>395</v>
      </c>
      <c r="BX116" s="5" t="s">
        <v>395</v>
      </c>
      <c r="BY116" s="5" t="s">
        <v>395</v>
      </c>
      <c r="BZ116" s="5" t="s">
        <v>395</v>
      </c>
      <c r="CA116" s="5" t="s">
        <v>395</v>
      </c>
      <c r="CB116" s="5" t="s">
        <v>395</v>
      </c>
      <c r="CC116" s="5" t="s">
        <v>395</v>
      </c>
      <c r="CD116" s="5" t="s">
        <v>395</v>
      </c>
      <c r="CE116" s="5" t="s">
        <v>395</v>
      </c>
      <c r="CF116" s="5" t="s">
        <v>395</v>
      </c>
      <c r="CG116" s="5" t="s">
        <v>395</v>
      </c>
      <c r="CH116" s="5" t="s">
        <v>395</v>
      </c>
      <c r="CI116" s="5" t="s">
        <v>395</v>
      </c>
      <c r="CJ116" s="5" t="s">
        <v>395</v>
      </c>
      <c r="CK116" s="5" t="s">
        <v>395</v>
      </c>
      <c r="CL116" s="5" t="s">
        <v>395</v>
      </c>
      <c r="CM116" s="5" t="s">
        <v>395</v>
      </c>
      <c r="CN116" s="5" t="s">
        <v>395</v>
      </c>
      <c r="CO116" s="5" t="s">
        <v>395</v>
      </c>
      <c r="CP116" s="5" t="s">
        <v>395</v>
      </c>
      <c r="CQ116" s="5" t="s">
        <v>395</v>
      </c>
      <c r="CR116" s="5" t="s">
        <v>395</v>
      </c>
      <c r="CS116" s="5" t="s">
        <v>395</v>
      </c>
      <c r="CT116" s="5" t="s">
        <v>395</v>
      </c>
      <c r="CU116" s="5" t="s">
        <v>395</v>
      </c>
      <c r="CV116" s="5" t="s">
        <v>395</v>
      </c>
      <c r="CW116" s="5" t="s">
        <v>395</v>
      </c>
      <c r="CX116" s="5" t="s">
        <v>395</v>
      </c>
      <c r="CY116" s="252" t="s">
        <v>395</v>
      </c>
    </row>
    <row r="117" spans="1:103" x14ac:dyDescent="0.3">
      <c r="A117" s="26" t="s">
        <v>11</v>
      </c>
      <c r="B117" s="14" t="s">
        <v>11</v>
      </c>
      <c r="C117" s="14" t="s">
        <v>20</v>
      </c>
      <c r="G117" s="22">
        <v>43699</v>
      </c>
      <c r="H117" s="16">
        <v>2019</v>
      </c>
      <c r="I117" s="121" t="s">
        <v>33</v>
      </c>
      <c r="J117" s="121">
        <v>10</v>
      </c>
      <c r="K117" s="251">
        <v>0.33239887865439299</v>
      </c>
      <c r="L117" s="5" t="s">
        <v>395</v>
      </c>
      <c r="M117" s="5">
        <f>0.5*0.015</f>
        <v>7.4999999999999997E-3</v>
      </c>
      <c r="N117" s="5">
        <v>7.3306407196621987E-2</v>
      </c>
      <c r="O117" s="5">
        <v>0.79247292087387544</v>
      </c>
      <c r="P117" s="5">
        <v>0.76275931705525979</v>
      </c>
      <c r="Q117" s="5">
        <v>3.6847071782632641</v>
      </c>
      <c r="R117" s="5">
        <v>2.9363870020194605</v>
      </c>
      <c r="S117" s="5">
        <v>1.400872039654856</v>
      </c>
      <c r="T117" s="5">
        <v>9.6505048650633363</v>
      </c>
      <c r="U117" s="5">
        <f t="shared" si="56"/>
        <v>133.8037839359979</v>
      </c>
      <c r="V117" s="5">
        <f t="shared" si="72"/>
        <v>6.4999999999999997E-3</v>
      </c>
      <c r="W117" s="5">
        <v>9.2236623631865355E-2</v>
      </c>
      <c r="X117" s="5">
        <v>3.0603520101690578E-2</v>
      </c>
      <c r="Y117" s="5">
        <v>4.5430523874108682E-2</v>
      </c>
      <c r="Z117" s="5">
        <f>0.5*0.01</f>
        <v>5.0000000000000001E-3</v>
      </c>
      <c r="AA117" s="5">
        <v>1.6166059942340924E-2</v>
      </c>
      <c r="AB117" s="5">
        <v>1.4364420731899313E-2</v>
      </c>
      <c r="AC117" s="5">
        <f t="shared" si="75"/>
        <v>0.05</v>
      </c>
      <c r="AD117" s="5">
        <v>0.19880114828190487</v>
      </c>
      <c r="AE117" s="5">
        <f t="shared" si="82"/>
        <v>0.20530114828190482</v>
      </c>
      <c r="AF117" s="5">
        <f>0.5*0.01</f>
        <v>5.0000000000000001E-3</v>
      </c>
      <c r="AG117" s="250" t="s">
        <v>395</v>
      </c>
      <c r="AH117" s="250">
        <v>14.40535714285714</v>
      </c>
      <c r="AI117" s="5">
        <f t="shared" si="76"/>
        <v>0.1</v>
      </c>
      <c r="AJ117" s="5">
        <f t="shared" si="77"/>
        <v>0.05</v>
      </c>
      <c r="AK117" s="5">
        <f t="shared" si="78"/>
        <v>0.1</v>
      </c>
      <c r="AL117" s="5">
        <f t="shared" si="78"/>
        <v>0.1</v>
      </c>
      <c r="AM117" s="5">
        <f t="shared" si="79"/>
        <v>0.15</v>
      </c>
      <c r="AN117" s="5">
        <v>0.61071428571428565</v>
      </c>
      <c r="AO117" s="5">
        <f>0.5*0.3</f>
        <v>0.15</v>
      </c>
      <c r="AP117" s="5">
        <f t="shared" si="80"/>
        <v>0.1</v>
      </c>
      <c r="AQ117" s="5">
        <v>0.33038194444444441</v>
      </c>
      <c r="AR117" s="5">
        <f t="shared" si="85"/>
        <v>0.05</v>
      </c>
      <c r="AS117" s="5" t="s">
        <v>395</v>
      </c>
      <c r="AT117" s="5" t="s">
        <v>395</v>
      </c>
      <c r="AU117" s="5" t="s">
        <v>395</v>
      </c>
      <c r="AV117" s="5" t="s">
        <v>395</v>
      </c>
      <c r="AW117" s="5" t="s">
        <v>395</v>
      </c>
      <c r="AX117" s="5" t="s">
        <v>395</v>
      </c>
      <c r="AY117" s="5" t="s">
        <v>395</v>
      </c>
      <c r="AZ117" s="5" t="s">
        <v>395</v>
      </c>
      <c r="BA117" s="5" t="s">
        <v>395</v>
      </c>
      <c r="BB117" s="5" t="s">
        <v>395</v>
      </c>
      <c r="BC117" s="5" t="s">
        <v>395</v>
      </c>
      <c r="BD117" s="5" t="s">
        <v>395</v>
      </c>
      <c r="BE117" s="5" t="s">
        <v>395</v>
      </c>
      <c r="BF117" s="5" t="s">
        <v>395</v>
      </c>
      <c r="BG117" s="5" t="s">
        <v>395</v>
      </c>
      <c r="BH117" s="5" t="s">
        <v>395</v>
      </c>
      <c r="BI117" s="5" t="s">
        <v>395</v>
      </c>
      <c r="BJ117" s="5" t="s">
        <v>395</v>
      </c>
      <c r="BK117" s="5" t="s">
        <v>395</v>
      </c>
      <c r="BL117" s="5" t="s">
        <v>395</v>
      </c>
      <c r="BM117" s="5" t="s">
        <v>395</v>
      </c>
      <c r="BN117" s="5">
        <v>100</v>
      </c>
      <c r="BO117" s="5" t="s">
        <v>395</v>
      </c>
      <c r="BP117" s="5" t="s">
        <v>395</v>
      </c>
      <c r="BQ117" s="5" t="s">
        <v>395</v>
      </c>
      <c r="BR117" s="5" t="s">
        <v>395</v>
      </c>
      <c r="BS117" s="5" t="s">
        <v>395</v>
      </c>
      <c r="BT117" s="5" t="s">
        <v>395</v>
      </c>
      <c r="BU117" s="5" t="s">
        <v>395</v>
      </c>
      <c r="BV117" s="5" t="s">
        <v>395</v>
      </c>
      <c r="BW117" s="5" t="s">
        <v>395</v>
      </c>
      <c r="BX117" s="5" t="s">
        <v>395</v>
      </c>
      <c r="BY117" s="5" t="s">
        <v>395</v>
      </c>
      <c r="BZ117" s="5" t="s">
        <v>395</v>
      </c>
      <c r="CA117" s="5" t="s">
        <v>395</v>
      </c>
      <c r="CB117" s="5" t="s">
        <v>395</v>
      </c>
      <c r="CC117" s="5" t="s">
        <v>395</v>
      </c>
      <c r="CD117" s="5" t="s">
        <v>395</v>
      </c>
      <c r="CE117" s="5" t="s">
        <v>395</v>
      </c>
      <c r="CF117" s="5" t="s">
        <v>395</v>
      </c>
      <c r="CG117" s="5" t="s">
        <v>395</v>
      </c>
      <c r="CH117" s="5" t="s">
        <v>395</v>
      </c>
      <c r="CI117" s="5" t="s">
        <v>395</v>
      </c>
      <c r="CJ117" s="5" t="s">
        <v>395</v>
      </c>
      <c r="CK117" s="5" t="s">
        <v>395</v>
      </c>
      <c r="CL117" s="5" t="s">
        <v>395</v>
      </c>
      <c r="CM117" s="5" t="s">
        <v>395</v>
      </c>
      <c r="CN117" s="5" t="s">
        <v>395</v>
      </c>
      <c r="CO117" s="5" t="s">
        <v>395</v>
      </c>
      <c r="CP117" s="5" t="s">
        <v>395</v>
      </c>
      <c r="CQ117" s="5" t="s">
        <v>395</v>
      </c>
      <c r="CR117" s="5" t="s">
        <v>395</v>
      </c>
      <c r="CS117" s="5" t="s">
        <v>395</v>
      </c>
      <c r="CT117" s="5" t="s">
        <v>395</v>
      </c>
      <c r="CU117" s="5" t="s">
        <v>395</v>
      </c>
      <c r="CV117" s="5" t="s">
        <v>395</v>
      </c>
      <c r="CW117" s="5" t="s">
        <v>395</v>
      </c>
      <c r="CX117" s="5" t="s">
        <v>395</v>
      </c>
      <c r="CY117" s="252" t="s">
        <v>395</v>
      </c>
    </row>
    <row r="118" spans="1:103" x14ac:dyDescent="0.3">
      <c r="A118" s="26" t="s">
        <v>12</v>
      </c>
      <c r="B118" s="14" t="s">
        <v>12</v>
      </c>
      <c r="C118" s="14" t="s">
        <v>20</v>
      </c>
      <c r="G118" s="22">
        <v>43594</v>
      </c>
      <c r="H118" s="16">
        <v>2019</v>
      </c>
      <c r="I118" s="121" t="s">
        <v>33</v>
      </c>
      <c r="J118" s="121">
        <v>3</v>
      </c>
      <c r="K118" s="251">
        <v>0.28959092750098497</v>
      </c>
      <c r="L118" s="5" t="s">
        <v>395</v>
      </c>
      <c r="M118" s="5">
        <v>6.8211797491871812E-2</v>
      </c>
      <c r="N118" s="5">
        <v>0.40723641430562002</v>
      </c>
      <c r="O118" s="5">
        <v>5.5371760334417095</v>
      </c>
      <c r="P118" s="5">
        <v>4.6130422666047375</v>
      </c>
      <c r="Q118" s="5">
        <v>17.903632141198326</v>
      </c>
      <c r="R118" s="5">
        <v>14.330701346957733</v>
      </c>
      <c r="S118" s="5">
        <v>5.4727171388759865</v>
      </c>
      <c r="T118" s="5">
        <v>48.332717138875985</v>
      </c>
      <c r="U118" s="5">
        <f t="shared" si="56"/>
        <v>754.85228852900696</v>
      </c>
      <c r="V118" s="5">
        <f t="shared" si="72"/>
        <v>6.4999999999999997E-3</v>
      </c>
      <c r="W118" s="5">
        <v>0.30580341605395928</v>
      </c>
      <c r="X118" s="5">
        <v>0.17167469151490153</v>
      </c>
      <c r="Y118" s="5">
        <v>0.38166429989427642</v>
      </c>
      <c r="Z118" s="5">
        <v>2.0801420263099894E-2</v>
      </c>
      <c r="AA118" s="5">
        <v>8.199922519265318E-2</v>
      </c>
      <c r="AB118" s="5">
        <v>0.10623440444118511</v>
      </c>
      <c r="AC118" s="5">
        <v>0.22944728286112401</v>
      </c>
      <c r="AD118" s="5">
        <v>1.2976247402211996</v>
      </c>
      <c r="AE118" s="5">
        <f t="shared" si="82"/>
        <v>1.0538760370969755</v>
      </c>
      <c r="AF118" s="5">
        <v>4.4916542305606646E-3</v>
      </c>
      <c r="AG118" s="250">
        <f>AF118*(5/K118)</f>
        <v>7.7551708358428936E-2</v>
      </c>
      <c r="AH118" s="250">
        <v>3.5734066166367189</v>
      </c>
      <c r="AI118" s="5">
        <f t="shared" si="76"/>
        <v>0.1</v>
      </c>
      <c r="AJ118" s="5">
        <f t="shared" si="77"/>
        <v>0.05</v>
      </c>
      <c r="AK118" s="5">
        <f t="shared" si="78"/>
        <v>0.1</v>
      </c>
      <c r="AL118" s="5">
        <f t="shared" si="78"/>
        <v>0.1</v>
      </c>
      <c r="AM118" s="5">
        <f t="shared" si="79"/>
        <v>0.15</v>
      </c>
      <c r="AN118" s="5">
        <v>1.0842405665363068</v>
      </c>
      <c r="AO118" s="5">
        <v>1.2067857520346685</v>
      </c>
      <c r="AP118" s="5">
        <f t="shared" si="80"/>
        <v>0.1</v>
      </c>
      <c r="AQ118" s="5">
        <v>0.71031955748159092</v>
      </c>
      <c r="AR118" s="5">
        <f t="shared" si="85"/>
        <v>0.05</v>
      </c>
      <c r="AS118" s="5" t="s">
        <v>395</v>
      </c>
      <c r="AT118" s="5" t="s">
        <v>395</v>
      </c>
      <c r="AU118" s="5" t="s">
        <v>395</v>
      </c>
      <c r="AV118" s="5" t="s">
        <v>395</v>
      </c>
      <c r="AW118" s="5" t="s">
        <v>395</v>
      </c>
      <c r="AX118" s="5" t="s">
        <v>395</v>
      </c>
      <c r="AY118" s="5" t="s">
        <v>395</v>
      </c>
      <c r="AZ118" s="5" t="s">
        <v>395</v>
      </c>
      <c r="BA118" s="5" t="s">
        <v>395</v>
      </c>
      <c r="BB118" s="5" t="s">
        <v>395</v>
      </c>
      <c r="BC118" s="5" t="s">
        <v>395</v>
      </c>
      <c r="BD118" s="5" t="s">
        <v>395</v>
      </c>
      <c r="BE118" s="5" t="s">
        <v>395</v>
      </c>
      <c r="BF118" s="5" t="s">
        <v>395</v>
      </c>
      <c r="BG118" s="5" t="s">
        <v>395</v>
      </c>
      <c r="BH118" s="5" t="s">
        <v>395</v>
      </c>
      <c r="BI118" s="5" t="s">
        <v>395</v>
      </c>
      <c r="BJ118" s="5" t="s">
        <v>395</v>
      </c>
      <c r="BK118" s="5" t="s">
        <v>395</v>
      </c>
      <c r="BL118" s="5" t="s">
        <v>395</v>
      </c>
      <c r="BM118" s="5" t="s">
        <v>395</v>
      </c>
      <c r="BN118" s="5" t="s">
        <v>13</v>
      </c>
      <c r="BO118" s="5" t="s">
        <v>395</v>
      </c>
      <c r="BP118" s="5" t="s">
        <v>395</v>
      </c>
      <c r="BQ118" s="5" t="s">
        <v>395</v>
      </c>
      <c r="BR118" s="5" t="s">
        <v>395</v>
      </c>
      <c r="BS118" s="5" t="s">
        <v>395</v>
      </c>
      <c r="BT118" s="5" t="s">
        <v>395</v>
      </c>
      <c r="BU118" s="5" t="s">
        <v>395</v>
      </c>
      <c r="BV118" s="5" t="s">
        <v>395</v>
      </c>
      <c r="BW118" s="5" t="s">
        <v>395</v>
      </c>
      <c r="BX118" s="5" t="s">
        <v>395</v>
      </c>
      <c r="BY118" s="5" t="s">
        <v>395</v>
      </c>
      <c r="BZ118" s="5" t="s">
        <v>395</v>
      </c>
      <c r="CA118" s="5" t="s">
        <v>395</v>
      </c>
      <c r="CB118" s="5" t="s">
        <v>395</v>
      </c>
      <c r="CC118" s="5" t="s">
        <v>395</v>
      </c>
      <c r="CD118" s="5" t="s">
        <v>395</v>
      </c>
      <c r="CE118" s="5" t="s">
        <v>395</v>
      </c>
      <c r="CF118" s="5" t="s">
        <v>395</v>
      </c>
      <c r="CG118" s="5" t="s">
        <v>395</v>
      </c>
      <c r="CH118" s="5" t="s">
        <v>395</v>
      </c>
      <c r="CI118" s="5" t="s">
        <v>395</v>
      </c>
      <c r="CJ118" s="5" t="s">
        <v>395</v>
      </c>
      <c r="CK118" s="5" t="s">
        <v>395</v>
      </c>
      <c r="CL118" s="5" t="s">
        <v>395</v>
      </c>
      <c r="CM118" s="5" t="s">
        <v>395</v>
      </c>
      <c r="CN118" s="5" t="s">
        <v>395</v>
      </c>
      <c r="CO118" s="5" t="s">
        <v>395</v>
      </c>
      <c r="CP118" s="5" t="s">
        <v>395</v>
      </c>
      <c r="CQ118" s="5" t="s">
        <v>395</v>
      </c>
      <c r="CR118" s="5" t="s">
        <v>395</v>
      </c>
      <c r="CS118" s="5" t="s">
        <v>395</v>
      </c>
      <c r="CT118" s="5" t="s">
        <v>395</v>
      </c>
      <c r="CU118" s="5" t="s">
        <v>395</v>
      </c>
      <c r="CV118" s="5" t="s">
        <v>395</v>
      </c>
      <c r="CW118" s="5" t="s">
        <v>395</v>
      </c>
      <c r="CX118" s="5" t="s">
        <v>395</v>
      </c>
      <c r="CY118" s="252" t="s">
        <v>395</v>
      </c>
    </row>
    <row r="119" spans="1:103" x14ac:dyDescent="0.3">
      <c r="A119" s="26" t="s">
        <v>14</v>
      </c>
      <c r="B119" s="14" t="s">
        <v>14</v>
      </c>
      <c r="C119" s="14" t="s">
        <v>20</v>
      </c>
      <c r="G119" s="22">
        <v>43699</v>
      </c>
      <c r="H119" s="16">
        <v>2019</v>
      </c>
      <c r="I119" s="121" t="s">
        <v>33</v>
      </c>
      <c r="J119" s="121">
        <v>1</v>
      </c>
      <c r="K119" s="251">
        <v>0.60718057022174499</v>
      </c>
      <c r="L119" s="5" t="s">
        <v>395</v>
      </c>
      <c r="M119" s="5">
        <f>0.5*0.03</f>
        <v>1.4999999999999999E-2</v>
      </c>
      <c r="N119" s="5">
        <v>5.1827626010003847E-2</v>
      </c>
      <c r="O119" s="5">
        <v>0.38137745286648705</v>
      </c>
      <c r="P119" s="5">
        <v>0.69146787225856099</v>
      </c>
      <c r="Q119" s="5">
        <v>2.4256156213928435</v>
      </c>
      <c r="R119" s="5">
        <v>1.5560792612543284</v>
      </c>
      <c r="S119" s="5">
        <v>0.81116775682954967</v>
      </c>
      <c r="T119" s="5">
        <v>5.9175355906117737</v>
      </c>
      <c r="U119" s="5">
        <f t="shared" si="56"/>
        <v>43.159053298091798</v>
      </c>
      <c r="V119" s="5">
        <f t="shared" si="72"/>
        <v>6.4999999999999997E-3</v>
      </c>
      <c r="W119" s="5">
        <v>6.8904801462798551E-2</v>
      </c>
      <c r="X119" s="5">
        <v>2.4649502925693324E-2</v>
      </c>
      <c r="Y119" s="5">
        <v>7.4621003085650825E-2</v>
      </c>
      <c r="Z119" s="5">
        <f>0.5*0.01</f>
        <v>5.0000000000000001E-3</v>
      </c>
      <c r="AA119" s="5">
        <f>0.5*0.02</f>
        <v>0.01</v>
      </c>
      <c r="AB119" s="5">
        <f>0.5*0.013</f>
        <v>6.4999999999999997E-3</v>
      </c>
      <c r="AC119" s="5">
        <f>0.5*0.1</f>
        <v>0.05</v>
      </c>
      <c r="AD119" s="5">
        <v>0.16817530747414272</v>
      </c>
      <c r="AE119" s="5">
        <f t="shared" si="82"/>
        <v>0.19117530747414271</v>
      </c>
      <c r="AF119" s="5">
        <f>0.5*0.019</f>
        <v>9.4999999999999998E-3</v>
      </c>
      <c r="AG119" s="250" t="s">
        <v>395</v>
      </c>
      <c r="AH119" s="250">
        <v>0.72868439971243715</v>
      </c>
      <c r="AI119" s="5">
        <f t="shared" si="76"/>
        <v>0.1</v>
      </c>
      <c r="AJ119" s="5">
        <f t="shared" si="77"/>
        <v>0.05</v>
      </c>
      <c r="AK119" s="5">
        <f t="shared" si="78"/>
        <v>0.1</v>
      </c>
      <c r="AL119" s="5">
        <f t="shared" si="78"/>
        <v>0.1</v>
      </c>
      <c r="AM119" s="5">
        <f t="shared" si="79"/>
        <v>0.15</v>
      </c>
      <c r="AN119" s="5">
        <f>0.5*0.2</f>
        <v>0.1</v>
      </c>
      <c r="AO119" s="5">
        <f>0.5*0.3</f>
        <v>0.15</v>
      </c>
      <c r="AP119" s="5">
        <f t="shared" si="80"/>
        <v>0.1</v>
      </c>
      <c r="AQ119" s="5">
        <f>0.5*0.2</f>
        <v>0.1</v>
      </c>
      <c r="AR119" s="5">
        <f t="shared" si="85"/>
        <v>0.05</v>
      </c>
      <c r="AS119" s="5" t="s">
        <v>395</v>
      </c>
      <c r="AT119" s="5" t="s">
        <v>395</v>
      </c>
      <c r="AU119" s="5" t="s">
        <v>395</v>
      </c>
      <c r="AV119" s="5" t="s">
        <v>395</v>
      </c>
      <c r="AW119" s="5" t="s">
        <v>395</v>
      </c>
      <c r="AX119" s="5" t="s">
        <v>395</v>
      </c>
      <c r="AY119" s="5" t="s">
        <v>395</v>
      </c>
      <c r="AZ119" s="5" t="s">
        <v>395</v>
      </c>
      <c r="BA119" s="5" t="s">
        <v>395</v>
      </c>
      <c r="BB119" s="5" t="s">
        <v>395</v>
      </c>
      <c r="BC119" s="5" t="s">
        <v>395</v>
      </c>
      <c r="BD119" s="5" t="s">
        <v>395</v>
      </c>
      <c r="BE119" s="5" t="s">
        <v>395</v>
      </c>
      <c r="BF119" s="5" t="s">
        <v>395</v>
      </c>
      <c r="BG119" s="5" t="s">
        <v>395</v>
      </c>
      <c r="BH119" s="5" t="s">
        <v>395</v>
      </c>
      <c r="BI119" s="5" t="s">
        <v>395</v>
      </c>
      <c r="BJ119" s="5" t="s">
        <v>395</v>
      </c>
      <c r="BK119" s="5" t="s">
        <v>395</v>
      </c>
      <c r="BL119" s="5" t="s">
        <v>395</v>
      </c>
      <c r="BM119" s="5" t="s">
        <v>395</v>
      </c>
      <c r="BN119" s="5" t="s">
        <v>13</v>
      </c>
      <c r="BO119" s="5" t="s">
        <v>395</v>
      </c>
      <c r="BP119" s="5" t="s">
        <v>395</v>
      </c>
      <c r="BQ119" s="5" t="s">
        <v>395</v>
      </c>
      <c r="BR119" s="5" t="s">
        <v>395</v>
      </c>
      <c r="BS119" s="5" t="s">
        <v>395</v>
      </c>
      <c r="BT119" s="5" t="s">
        <v>395</v>
      </c>
      <c r="BU119" s="5" t="s">
        <v>395</v>
      </c>
      <c r="BV119" s="5" t="s">
        <v>395</v>
      </c>
      <c r="BW119" s="5" t="s">
        <v>395</v>
      </c>
      <c r="BX119" s="5" t="s">
        <v>395</v>
      </c>
      <c r="BY119" s="5" t="s">
        <v>395</v>
      </c>
      <c r="BZ119" s="5" t="s">
        <v>395</v>
      </c>
      <c r="CA119" s="5" t="s">
        <v>395</v>
      </c>
      <c r="CB119" s="5" t="s">
        <v>395</v>
      </c>
      <c r="CC119" s="5" t="s">
        <v>395</v>
      </c>
      <c r="CD119" s="5" t="s">
        <v>395</v>
      </c>
      <c r="CE119" s="5" t="s">
        <v>395</v>
      </c>
      <c r="CF119" s="5" t="s">
        <v>395</v>
      </c>
      <c r="CG119" s="5" t="s">
        <v>395</v>
      </c>
      <c r="CH119" s="5" t="s">
        <v>395</v>
      </c>
      <c r="CI119" s="5" t="s">
        <v>395</v>
      </c>
      <c r="CJ119" s="5" t="s">
        <v>395</v>
      </c>
      <c r="CK119" s="5" t="s">
        <v>395</v>
      </c>
      <c r="CL119" s="5" t="s">
        <v>395</v>
      </c>
      <c r="CM119" s="5" t="s">
        <v>395</v>
      </c>
      <c r="CN119" s="5" t="s">
        <v>395</v>
      </c>
      <c r="CO119" s="5" t="s">
        <v>395</v>
      </c>
      <c r="CP119" s="5" t="s">
        <v>395</v>
      </c>
      <c r="CQ119" s="5" t="s">
        <v>395</v>
      </c>
      <c r="CR119" s="5" t="s">
        <v>395</v>
      </c>
      <c r="CS119" s="5" t="s">
        <v>395</v>
      </c>
      <c r="CT119" s="5" t="s">
        <v>395</v>
      </c>
      <c r="CU119" s="5" t="s">
        <v>395</v>
      </c>
      <c r="CV119" s="5" t="s">
        <v>395</v>
      </c>
      <c r="CW119" s="5" t="s">
        <v>395</v>
      </c>
      <c r="CX119" s="5" t="s">
        <v>395</v>
      </c>
      <c r="CY119" s="252" t="s">
        <v>395</v>
      </c>
    </row>
    <row r="120" spans="1:103" x14ac:dyDescent="0.3">
      <c r="A120" s="26" t="s">
        <v>15</v>
      </c>
      <c r="B120" s="14" t="s">
        <v>15</v>
      </c>
      <c r="C120" s="14" t="s">
        <v>20</v>
      </c>
      <c r="G120" s="22">
        <v>43696</v>
      </c>
      <c r="H120" s="16">
        <v>2019</v>
      </c>
      <c r="I120" s="121" t="s">
        <v>33</v>
      </c>
      <c r="J120" s="121">
        <v>10</v>
      </c>
      <c r="K120" s="251">
        <v>0.364004044489384</v>
      </c>
      <c r="L120" s="5" t="s">
        <v>395</v>
      </c>
      <c r="M120" s="5">
        <f>0.5*0.015</f>
        <v>7.4999999999999997E-3</v>
      </c>
      <c r="N120" s="5">
        <v>0.11100037965072133</v>
      </c>
      <c r="O120" s="5">
        <v>0.43751898253606686</v>
      </c>
      <c r="P120" s="5">
        <v>0.40260060744115422</v>
      </c>
      <c r="Q120" s="5">
        <v>1.7092444950645409</v>
      </c>
      <c r="R120" s="5">
        <v>1.428246013667426</v>
      </c>
      <c r="S120" s="5">
        <v>0.69477031131359157</v>
      </c>
      <c r="T120" s="5">
        <v>4.783380789673501</v>
      </c>
      <c r="U120" s="5">
        <f t="shared" si="56"/>
        <v>60.277904169830293</v>
      </c>
      <c r="V120" s="5">
        <f t="shared" si="72"/>
        <v>6.4999999999999997E-3</v>
      </c>
      <c r="W120" s="5">
        <v>4.2481454957762628E-2</v>
      </c>
      <c r="X120" s="5">
        <v>1.7300197545635828E-2</v>
      </c>
      <c r="Y120" s="5">
        <v>3.2159808810035738E-2</v>
      </c>
      <c r="Z120" s="5">
        <f>0.5*0.01</f>
        <v>5.0000000000000001E-3</v>
      </c>
      <c r="AA120" s="5">
        <f>0.5*0.02</f>
        <v>0.01</v>
      </c>
      <c r="AB120" s="5">
        <f>0.5*0.013</f>
        <v>6.4999999999999997E-3</v>
      </c>
      <c r="AC120" s="5">
        <v>0.39531131359149585</v>
      </c>
      <c r="AD120" s="5">
        <v>0.48725277490493002</v>
      </c>
      <c r="AE120" s="5">
        <f t="shared" si="82"/>
        <v>0.1149414613134342</v>
      </c>
      <c r="AF120" s="5">
        <f>0.5*0.01</f>
        <v>5.0000000000000001E-3</v>
      </c>
      <c r="AG120" s="250" t="s">
        <v>395</v>
      </c>
      <c r="AH120" s="250">
        <v>3.198081790329026</v>
      </c>
      <c r="AI120" s="5">
        <f t="shared" si="76"/>
        <v>0.1</v>
      </c>
      <c r="AJ120" s="5">
        <f t="shared" si="77"/>
        <v>0.05</v>
      </c>
      <c r="AK120" s="5">
        <f t="shared" si="78"/>
        <v>0.1</v>
      </c>
      <c r="AL120" s="5">
        <f t="shared" si="78"/>
        <v>0.1</v>
      </c>
      <c r="AM120" s="5">
        <f t="shared" si="79"/>
        <v>0.15</v>
      </c>
      <c r="AN120" s="5">
        <v>0.40202477687491672</v>
      </c>
      <c r="AO120" s="5">
        <f>0.5*0.3</f>
        <v>0.15</v>
      </c>
      <c r="AP120" s="5">
        <f t="shared" si="80"/>
        <v>0.1</v>
      </c>
      <c r="AQ120" s="5">
        <v>0.31441765463345323</v>
      </c>
      <c r="AR120" s="5">
        <f t="shared" si="85"/>
        <v>0.05</v>
      </c>
      <c r="AS120" s="5" t="s">
        <v>395</v>
      </c>
      <c r="AT120" s="5" t="s">
        <v>395</v>
      </c>
      <c r="AU120" s="5" t="s">
        <v>395</v>
      </c>
      <c r="AV120" s="5" t="s">
        <v>395</v>
      </c>
      <c r="AW120" s="5" t="s">
        <v>395</v>
      </c>
      <c r="AX120" s="5" t="s">
        <v>395</v>
      </c>
      <c r="AY120" s="5" t="s">
        <v>395</v>
      </c>
      <c r="AZ120" s="5" t="s">
        <v>395</v>
      </c>
      <c r="BA120" s="5" t="s">
        <v>395</v>
      </c>
      <c r="BB120" s="5" t="s">
        <v>395</v>
      </c>
      <c r="BC120" s="5" t="s">
        <v>395</v>
      </c>
      <c r="BD120" s="5" t="s">
        <v>395</v>
      </c>
      <c r="BE120" s="5" t="s">
        <v>395</v>
      </c>
      <c r="BF120" s="5" t="s">
        <v>395</v>
      </c>
      <c r="BG120" s="5" t="s">
        <v>395</v>
      </c>
      <c r="BH120" s="5" t="s">
        <v>395</v>
      </c>
      <c r="BI120" s="5" t="s">
        <v>395</v>
      </c>
      <c r="BJ120" s="5" t="s">
        <v>395</v>
      </c>
      <c r="BK120" s="5" t="s">
        <v>395</v>
      </c>
      <c r="BL120" s="5" t="s">
        <v>395</v>
      </c>
      <c r="BM120" s="5" t="s">
        <v>395</v>
      </c>
      <c r="BN120" s="5">
        <v>240</v>
      </c>
      <c r="BO120" s="5" t="s">
        <v>395</v>
      </c>
      <c r="BP120" s="5" t="s">
        <v>395</v>
      </c>
      <c r="BQ120" s="5" t="s">
        <v>395</v>
      </c>
      <c r="BR120" s="5" t="s">
        <v>395</v>
      </c>
      <c r="BS120" s="5" t="s">
        <v>395</v>
      </c>
      <c r="BT120" s="5" t="s">
        <v>395</v>
      </c>
      <c r="BU120" s="5" t="s">
        <v>395</v>
      </c>
      <c r="BV120" s="5" t="s">
        <v>395</v>
      </c>
      <c r="BW120" s="5" t="s">
        <v>395</v>
      </c>
      <c r="BX120" s="5" t="s">
        <v>395</v>
      </c>
      <c r="BY120" s="5" t="s">
        <v>395</v>
      </c>
      <c r="BZ120" s="5" t="s">
        <v>395</v>
      </c>
      <c r="CA120" s="5" t="s">
        <v>395</v>
      </c>
      <c r="CB120" s="5" t="s">
        <v>395</v>
      </c>
      <c r="CC120" s="5" t="s">
        <v>395</v>
      </c>
      <c r="CD120" s="5" t="s">
        <v>395</v>
      </c>
      <c r="CE120" s="5" t="s">
        <v>395</v>
      </c>
      <c r="CF120" s="5" t="s">
        <v>395</v>
      </c>
      <c r="CG120" s="5" t="s">
        <v>395</v>
      </c>
      <c r="CH120" s="5" t="s">
        <v>395</v>
      </c>
      <c r="CI120" s="5" t="s">
        <v>395</v>
      </c>
      <c r="CJ120" s="5" t="s">
        <v>395</v>
      </c>
      <c r="CK120" s="5" t="s">
        <v>395</v>
      </c>
      <c r="CL120" s="5" t="s">
        <v>395</v>
      </c>
      <c r="CM120" s="5" t="s">
        <v>395</v>
      </c>
      <c r="CN120" s="5" t="s">
        <v>395</v>
      </c>
      <c r="CO120" s="5" t="s">
        <v>395</v>
      </c>
      <c r="CP120" s="5" t="s">
        <v>395</v>
      </c>
      <c r="CQ120" s="5" t="s">
        <v>395</v>
      </c>
      <c r="CR120" s="5" t="s">
        <v>395</v>
      </c>
      <c r="CS120" s="5" t="s">
        <v>395</v>
      </c>
      <c r="CT120" s="5" t="s">
        <v>395</v>
      </c>
      <c r="CU120" s="5" t="s">
        <v>395</v>
      </c>
      <c r="CV120" s="5" t="s">
        <v>395</v>
      </c>
      <c r="CW120" s="5" t="s">
        <v>395</v>
      </c>
      <c r="CX120" s="5" t="s">
        <v>395</v>
      </c>
      <c r="CY120" s="252" t="s">
        <v>395</v>
      </c>
    </row>
    <row r="121" spans="1:103" x14ac:dyDescent="0.3">
      <c r="A121" s="26" t="s">
        <v>80</v>
      </c>
      <c r="B121" s="14" t="s">
        <v>80</v>
      </c>
      <c r="C121" s="14" t="s">
        <v>20</v>
      </c>
      <c r="G121" s="22">
        <v>43679</v>
      </c>
      <c r="H121" s="16">
        <v>2019</v>
      </c>
      <c r="I121" s="121" t="s">
        <v>33</v>
      </c>
      <c r="J121" s="121">
        <v>7</v>
      </c>
      <c r="K121" s="251">
        <v>0.42216146670956894</v>
      </c>
      <c r="L121" s="5" t="s">
        <v>395</v>
      </c>
      <c r="M121" s="5">
        <f>0.5*0.015</f>
        <v>7.4999999999999997E-3</v>
      </c>
      <c r="N121" s="5">
        <v>2.8964904486894712E-2</v>
      </c>
      <c r="O121" s="5">
        <v>0.28256774766770326</v>
      </c>
      <c r="P121" s="5">
        <v>0.29115059973345175</v>
      </c>
      <c r="Q121" s="5">
        <v>1.185810750777432</v>
      </c>
      <c r="R121" s="5">
        <v>0.92812083518436239</v>
      </c>
      <c r="S121" s="5">
        <v>0.37695246557085743</v>
      </c>
      <c r="T121" s="5">
        <v>3.0935673034207016</v>
      </c>
      <c r="U121" s="5">
        <f t="shared" si="56"/>
        <v>33.280118216241256</v>
      </c>
      <c r="V121" s="5">
        <f t="shared" si="72"/>
        <v>6.4999999999999997E-3</v>
      </c>
      <c r="W121" s="5">
        <v>8.7246010794448769E-2</v>
      </c>
      <c r="X121" s="5">
        <v>3.0655831983287474E-2</v>
      </c>
      <c r="Y121" s="5">
        <v>5.970175928607574E-2</v>
      </c>
      <c r="Z121" s="5">
        <f>0.5*0.01</f>
        <v>5.0000000000000001E-3</v>
      </c>
      <c r="AA121" s="5">
        <f>0.5*0.02</f>
        <v>0.01</v>
      </c>
      <c r="AB121" s="5">
        <f>0.5*0.013</f>
        <v>6.4999999999999997E-3</v>
      </c>
      <c r="AC121" s="5">
        <f>0.5*0.1</f>
        <v>0.05</v>
      </c>
      <c r="AD121" s="5">
        <v>0.17760360206381198</v>
      </c>
      <c r="AE121" s="5">
        <f t="shared" si="82"/>
        <v>0.200603602063812</v>
      </c>
      <c r="AF121" s="5">
        <f>0.5*0.01</f>
        <v>5.0000000000000001E-3</v>
      </c>
      <c r="AG121" s="250" t="s">
        <v>395</v>
      </c>
      <c r="AH121" s="250">
        <v>0.22399134332972637</v>
      </c>
      <c r="AI121" s="5">
        <f t="shared" si="76"/>
        <v>0.1</v>
      </c>
      <c r="AJ121" s="5">
        <f t="shared" si="77"/>
        <v>0.05</v>
      </c>
      <c r="AK121" s="5">
        <f t="shared" si="78"/>
        <v>0.1</v>
      </c>
      <c r="AL121" s="5">
        <f t="shared" si="78"/>
        <v>0.1</v>
      </c>
      <c r="AM121" s="5">
        <f t="shared" si="79"/>
        <v>0.15</v>
      </c>
      <c r="AN121" s="5">
        <f>0.5*0.2</f>
        <v>0.1</v>
      </c>
      <c r="AO121" s="5">
        <f>0.5*0.3</f>
        <v>0.15</v>
      </c>
      <c r="AP121" s="5">
        <f t="shared" si="80"/>
        <v>0.1</v>
      </c>
      <c r="AQ121" s="5">
        <f>0.5*0.2</f>
        <v>0.1</v>
      </c>
      <c r="AR121" s="5">
        <f t="shared" si="85"/>
        <v>0.05</v>
      </c>
      <c r="AS121" s="5" t="s">
        <v>395</v>
      </c>
      <c r="AT121" s="5" t="s">
        <v>395</v>
      </c>
      <c r="AU121" s="5" t="s">
        <v>395</v>
      </c>
      <c r="AV121" s="5" t="s">
        <v>395</v>
      </c>
      <c r="AW121" s="5" t="s">
        <v>395</v>
      </c>
      <c r="AX121" s="5" t="s">
        <v>395</v>
      </c>
      <c r="AY121" s="5" t="s">
        <v>395</v>
      </c>
      <c r="AZ121" s="5" t="s">
        <v>395</v>
      </c>
      <c r="BA121" s="5" t="s">
        <v>395</v>
      </c>
      <c r="BB121" s="5" t="s">
        <v>395</v>
      </c>
      <c r="BC121" s="5" t="s">
        <v>395</v>
      </c>
      <c r="BD121" s="5" t="s">
        <v>395</v>
      </c>
      <c r="BE121" s="5" t="s">
        <v>395</v>
      </c>
      <c r="BF121" s="5" t="s">
        <v>395</v>
      </c>
      <c r="BG121" s="5" t="s">
        <v>395</v>
      </c>
      <c r="BH121" s="5" t="s">
        <v>395</v>
      </c>
      <c r="BI121" s="5" t="s">
        <v>395</v>
      </c>
      <c r="BJ121" s="5" t="s">
        <v>395</v>
      </c>
      <c r="BK121" s="5" t="s">
        <v>395</v>
      </c>
      <c r="BL121" s="5" t="s">
        <v>395</v>
      </c>
      <c r="BM121" s="5" t="s">
        <v>395</v>
      </c>
      <c r="BN121" s="5">
        <v>230</v>
      </c>
      <c r="BO121" s="5" t="s">
        <v>395</v>
      </c>
      <c r="BP121" s="5" t="s">
        <v>395</v>
      </c>
      <c r="BQ121" s="5" t="s">
        <v>395</v>
      </c>
      <c r="BR121" s="5" t="s">
        <v>395</v>
      </c>
      <c r="BS121" s="5" t="s">
        <v>395</v>
      </c>
      <c r="BT121" s="5" t="s">
        <v>395</v>
      </c>
      <c r="BU121" s="5" t="s">
        <v>395</v>
      </c>
      <c r="BV121" s="5" t="s">
        <v>395</v>
      </c>
      <c r="BW121" s="5" t="s">
        <v>395</v>
      </c>
      <c r="BX121" s="5" t="s">
        <v>395</v>
      </c>
      <c r="BY121" s="5" t="s">
        <v>395</v>
      </c>
      <c r="BZ121" s="5" t="s">
        <v>395</v>
      </c>
      <c r="CA121" s="5" t="s">
        <v>395</v>
      </c>
      <c r="CB121" s="5" t="s">
        <v>395</v>
      </c>
      <c r="CC121" s="5" t="s">
        <v>395</v>
      </c>
      <c r="CD121" s="5" t="s">
        <v>395</v>
      </c>
      <c r="CE121" s="5" t="s">
        <v>395</v>
      </c>
      <c r="CF121" s="5" t="s">
        <v>395</v>
      </c>
      <c r="CG121" s="5" t="s">
        <v>395</v>
      </c>
      <c r="CH121" s="5" t="s">
        <v>395</v>
      </c>
      <c r="CI121" s="5" t="s">
        <v>395</v>
      </c>
      <c r="CJ121" s="5" t="s">
        <v>395</v>
      </c>
      <c r="CK121" s="5" t="s">
        <v>395</v>
      </c>
      <c r="CL121" s="5" t="s">
        <v>395</v>
      </c>
      <c r="CM121" s="5" t="s">
        <v>395</v>
      </c>
      <c r="CN121" s="5" t="s">
        <v>395</v>
      </c>
      <c r="CO121" s="5" t="s">
        <v>395</v>
      </c>
      <c r="CP121" s="5" t="s">
        <v>395</v>
      </c>
      <c r="CQ121" s="5" t="s">
        <v>395</v>
      </c>
      <c r="CR121" s="5" t="s">
        <v>395</v>
      </c>
      <c r="CS121" s="5" t="s">
        <v>395</v>
      </c>
      <c r="CT121" s="5" t="s">
        <v>395</v>
      </c>
      <c r="CU121" s="5" t="s">
        <v>395</v>
      </c>
      <c r="CV121" s="5" t="s">
        <v>395</v>
      </c>
      <c r="CW121" s="5" t="s">
        <v>395</v>
      </c>
      <c r="CX121" s="5" t="s">
        <v>395</v>
      </c>
      <c r="CY121" s="252" t="s">
        <v>395</v>
      </c>
    </row>
    <row r="122" spans="1:103" x14ac:dyDescent="0.3">
      <c r="A122" s="26" t="s">
        <v>16</v>
      </c>
      <c r="B122" s="14" t="s">
        <v>16</v>
      </c>
      <c r="C122" s="14" t="s">
        <v>20</v>
      </c>
      <c r="G122" s="22">
        <v>43696</v>
      </c>
      <c r="H122" s="16">
        <v>2019</v>
      </c>
      <c r="I122" s="121" t="s">
        <v>33</v>
      </c>
      <c r="J122" s="121">
        <v>10</v>
      </c>
      <c r="K122" s="251">
        <v>0.46716787623309808</v>
      </c>
      <c r="L122" s="5" t="s">
        <v>395</v>
      </c>
      <c r="M122" s="5">
        <f>0.5*0.015</f>
        <v>7.4999999999999997E-3</v>
      </c>
      <c r="N122" s="5">
        <f>0.5*0.02</f>
        <v>0.01</v>
      </c>
      <c r="O122" s="5">
        <v>7.8970289364173038E-2</v>
      </c>
      <c r="P122" s="5">
        <v>9.7435401141972314E-2</v>
      </c>
      <c r="Q122" s="5">
        <v>0.2798799961289074</v>
      </c>
      <c r="R122" s="5">
        <v>0.25675021774895962</v>
      </c>
      <c r="S122" s="5">
        <v>0.11981999419336108</v>
      </c>
      <c r="T122" s="5">
        <v>0.83285589857737352</v>
      </c>
      <c r="U122" s="5">
        <f t="shared" si="56"/>
        <v>8.0583504960401413</v>
      </c>
      <c r="V122" s="5">
        <f t="shared" si="72"/>
        <v>6.4999999999999997E-3</v>
      </c>
      <c r="W122" s="5">
        <v>2.3736099647809625E-2</v>
      </c>
      <c r="X122" s="5">
        <f>0.5*0.013</f>
        <v>6.4999999999999997E-3</v>
      </c>
      <c r="Y122" s="5">
        <v>2.733877676890157E-2</v>
      </c>
      <c r="Z122" s="5">
        <f>0.5*0.01</f>
        <v>5.0000000000000001E-3</v>
      </c>
      <c r="AA122" s="5">
        <f>0.5*0.02</f>
        <v>0.01</v>
      </c>
      <c r="AB122" s="5">
        <f>0.5*0.013</f>
        <v>6.4999999999999997E-3</v>
      </c>
      <c r="AC122" s="5">
        <v>0.28089615794057871</v>
      </c>
      <c r="AD122" s="5">
        <v>0.33197103435728992</v>
      </c>
      <c r="AE122" s="5">
        <f t="shared" si="82"/>
        <v>8.0574876416711197E-2</v>
      </c>
      <c r="AF122" s="5">
        <f>0.5*0.01</f>
        <v>5.0000000000000001E-3</v>
      </c>
      <c r="AG122" s="250" t="s">
        <v>395</v>
      </c>
      <c r="AH122" s="250">
        <f>0.5*0.1</f>
        <v>0.05</v>
      </c>
      <c r="AI122" s="5">
        <f t="shared" si="76"/>
        <v>0.1</v>
      </c>
      <c r="AJ122" s="5">
        <f t="shared" si="77"/>
        <v>0.05</v>
      </c>
      <c r="AK122" s="5">
        <f t="shared" si="78"/>
        <v>0.1</v>
      </c>
      <c r="AL122" s="5">
        <f t="shared" si="78"/>
        <v>0.1</v>
      </c>
      <c r="AM122" s="5">
        <f t="shared" si="79"/>
        <v>0.15</v>
      </c>
      <c r="AN122" s="5">
        <f>0.5*0.2</f>
        <v>0.1</v>
      </c>
      <c r="AO122" s="5">
        <f>0.5*0.3</f>
        <v>0.15</v>
      </c>
      <c r="AP122" s="5">
        <f t="shared" si="80"/>
        <v>0.1</v>
      </c>
      <c r="AQ122" s="5">
        <f>0.5*0.2</f>
        <v>0.1</v>
      </c>
      <c r="AR122" s="5">
        <f t="shared" si="85"/>
        <v>0.05</v>
      </c>
      <c r="AS122" s="5" t="s">
        <v>395</v>
      </c>
      <c r="AT122" s="5" t="s">
        <v>395</v>
      </c>
      <c r="AU122" s="5" t="s">
        <v>395</v>
      </c>
      <c r="AV122" s="5" t="s">
        <v>395</v>
      </c>
      <c r="AW122" s="5" t="s">
        <v>395</v>
      </c>
      <c r="AX122" s="5" t="s">
        <v>395</v>
      </c>
      <c r="AY122" s="5" t="s">
        <v>395</v>
      </c>
      <c r="AZ122" s="5" t="s">
        <v>395</v>
      </c>
      <c r="BA122" s="5" t="s">
        <v>395</v>
      </c>
      <c r="BB122" s="5" t="s">
        <v>395</v>
      </c>
      <c r="BC122" s="5" t="s">
        <v>395</v>
      </c>
      <c r="BD122" s="5" t="s">
        <v>395</v>
      </c>
      <c r="BE122" s="5" t="s">
        <v>395</v>
      </c>
      <c r="BF122" s="5" t="s">
        <v>395</v>
      </c>
      <c r="BG122" s="5" t="s">
        <v>395</v>
      </c>
      <c r="BH122" s="5" t="s">
        <v>395</v>
      </c>
      <c r="BI122" s="5" t="s">
        <v>395</v>
      </c>
      <c r="BJ122" s="5" t="s">
        <v>395</v>
      </c>
      <c r="BK122" s="5" t="s">
        <v>395</v>
      </c>
      <c r="BL122" s="5" t="s">
        <v>395</v>
      </c>
      <c r="BM122" s="5" t="s">
        <v>395</v>
      </c>
      <c r="BN122" s="5">
        <v>310</v>
      </c>
      <c r="BO122" s="5" t="s">
        <v>395</v>
      </c>
      <c r="BP122" s="5" t="s">
        <v>395</v>
      </c>
      <c r="BQ122" s="5" t="s">
        <v>395</v>
      </c>
      <c r="BR122" s="5" t="s">
        <v>395</v>
      </c>
      <c r="BS122" s="5" t="s">
        <v>395</v>
      </c>
      <c r="BT122" s="5" t="s">
        <v>395</v>
      </c>
      <c r="BU122" s="5" t="s">
        <v>395</v>
      </c>
      <c r="BV122" s="5" t="s">
        <v>395</v>
      </c>
      <c r="BW122" s="5" t="s">
        <v>395</v>
      </c>
      <c r="BX122" s="5" t="s">
        <v>395</v>
      </c>
      <c r="BY122" s="5" t="s">
        <v>395</v>
      </c>
      <c r="BZ122" s="5" t="s">
        <v>395</v>
      </c>
      <c r="CA122" s="5" t="s">
        <v>395</v>
      </c>
      <c r="CB122" s="5" t="s">
        <v>395</v>
      </c>
      <c r="CC122" s="5" t="s">
        <v>395</v>
      </c>
      <c r="CD122" s="5" t="s">
        <v>395</v>
      </c>
      <c r="CE122" s="5" t="s">
        <v>395</v>
      </c>
      <c r="CF122" s="5" t="s">
        <v>395</v>
      </c>
      <c r="CG122" s="5" t="s">
        <v>395</v>
      </c>
      <c r="CH122" s="5" t="s">
        <v>395</v>
      </c>
      <c r="CI122" s="5" t="s">
        <v>395</v>
      </c>
      <c r="CJ122" s="5" t="s">
        <v>395</v>
      </c>
      <c r="CK122" s="5" t="s">
        <v>395</v>
      </c>
      <c r="CL122" s="5" t="s">
        <v>395</v>
      </c>
      <c r="CM122" s="5" t="s">
        <v>395</v>
      </c>
      <c r="CN122" s="5" t="s">
        <v>395</v>
      </c>
      <c r="CO122" s="5" t="s">
        <v>395</v>
      </c>
      <c r="CP122" s="5" t="s">
        <v>395</v>
      </c>
      <c r="CQ122" s="5" t="s">
        <v>395</v>
      </c>
      <c r="CR122" s="5" t="s">
        <v>395</v>
      </c>
      <c r="CS122" s="5" t="s">
        <v>395</v>
      </c>
      <c r="CT122" s="5" t="s">
        <v>395</v>
      </c>
      <c r="CU122" s="5" t="s">
        <v>395</v>
      </c>
      <c r="CV122" s="5" t="s">
        <v>395</v>
      </c>
      <c r="CW122" s="5" t="s">
        <v>395</v>
      </c>
      <c r="CX122" s="5" t="s">
        <v>395</v>
      </c>
      <c r="CY122" s="252" t="s">
        <v>395</v>
      </c>
    </row>
    <row r="123" spans="1:103" x14ac:dyDescent="0.3">
      <c r="A123" s="26" t="s">
        <v>32</v>
      </c>
      <c r="B123" s="14" t="s">
        <v>32</v>
      </c>
      <c r="C123" s="14" t="s">
        <v>31</v>
      </c>
      <c r="G123" s="16" t="s">
        <v>31</v>
      </c>
      <c r="H123" s="16">
        <v>2018</v>
      </c>
      <c r="I123" s="121" t="s">
        <v>3</v>
      </c>
      <c r="J123" s="121" t="s">
        <v>395</v>
      </c>
      <c r="K123" s="251" t="s">
        <v>395</v>
      </c>
      <c r="L123" s="5" t="s">
        <v>395</v>
      </c>
      <c r="M123" s="5">
        <v>1.4999999999999999E-2</v>
      </c>
      <c r="N123" s="5">
        <v>2.3E-2</v>
      </c>
      <c r="O123" s="5">
        <v>0.01</v>
      </c>
      <c r="P123" s="5">
        <v>0.01</v>
      </c>
      <c r="Q123" s="5">
        <v>5.0000000000000001E-3</v>
      </c>
      <c r="R123" s="5">
        <v>0.01</v>
      </c>
      <c r="S123" s="5">
        <v>5.0000000000000001E-3</v>
      </c>
      <c r="T123" s="5" t="s">
        <v>395</v>
      </c>
      <c r="U123" s="5" t="s">
        <v>395</v>
      </c>
      <c r="V123" s="5">
        <v>1.2999999999999999E-2</v>
      </c>
      <c r="W123" s="5">
        <v>0.01</v>
      </c>
      <c r="X123" s="5">
        <v>1.2999999999999999E-2</v>
      </c>
      <c r="Y123" s="5">
        <v>1.4999999999999999E-2</v>
      </c>
      <c r="Z123" s="5">
        <v>0.01</v>
      </c>
      <c r="AA123" s="5">
        <v>0.02</v>
      </c>
      <c r="AB123" s="5">
        <v>1.2999999999999999E-2</v>
      </c>
      <c r="AC123" s="5">
        <v>0.1</v>
      </c>
      <c r="AD123" s="5" t="s">
        <v>395</v>
      </c>
      <c r="AE123" s="5" t="s">
        <v>395</v>
      </c>
      <c r="AF123" s="5">
        <v>4.0000000000000001E-3</v>
      </c>
      <c r="AG123" s="250" t="s">
        <v>395</v>
      </c>
      <c r="AH123" s="250">
        <v>0.2</v>
      </c>
      <c r="AI123" s="5">
        <v>0.2</v>
      </c>
      <c r="AJ123" s="5">
        <v>0.2</v>
      </c>
      <c r="AK123" s="5">
        <v>0.02</v>
      </c>
      <c r="AL123" s="5">
        <v>0.1</v>
      </c>
      <c r="AM123" s="5">
        <v>0.1</v>
      </c>
      <c r="AN123" s="5">
        <v>0.1</v>
      </c>
      <c r="AO123" s="5">
        <v>0.02</v>
      </c>
      <c r="AP123" s="5">
        <v>0.05</v>
      </c>
      <c r="AQ123" s="5">
        <v>0.1</v>
      </c>
      <c r="AR123" s="5">
        <v>0.05</v>
      </c>
      <c r="AS123" s="5" t="s">
        <v>395</v>
      </c>
      <c r="AT123" s="5" t="s">
        <v>395</v>
      </c>
      <c r="AU123" s="5" t="s">
        <v>395</v>
      </c>
      <c r="AV123" s="5" t="s">
        <v>395</v>
      </c>
      <c r="AW123" s="5" t="s">
        <v>395</v>
      </c>
      <c r="AX123" s="5" t="s">
        <v>395</v>
      </c>
      <c r="AY123" s="5" t="s">
        <v>395</v>
      </c>
      <c r="AZ123" s="5" t="s">
        <v>395</v>
      </c>
      <c r="BA123" s="5" t="s">
        <v>395</v>
      </c>
      <c r="BB123" s="5" t="s">
        <v>395</v>
      </c>
      <c r="BC123" s="5">
        <v>0.2</v>
      </c>
      <c r="BD123" s="5">
        <v>0.2</v>
      </c>
      <c r="BE123" s="5">
        <v>0.21</v>
      </c>
      <c r="BF123" s="5">
        <v>0.02</v>
      </c>
      <c r="BG123" s="5">
        <v>0.2</v>
      </c>
      <c r="BH123" s="5">
        <v>0.05</v>
      </c>
      <c r="BI123" s="5">
        <v>0.1</v>
      </c>
      <c r="BJ123" s="5">
        <v>0.1</v>
      </c>
      <c r="BK123" s="5">
        <v>0.05</v>
      </c>
      <c r="BL123" s="5">
        <v>0.1</v>
      </c>
      <c r="BM123" s="5">
        <v>0.05</v>
      </c>
      <c r="BN123" s="5">
        <v>0.03</v>
      </c>
      <c r="BO123" s="5">
        <v>0.9506116229162711</v>
      </c>
      <c r="BP123" s="5">
        <v>1.3851882404237692</v>
      </c>
      <c r="BQ123" s="5">
        <v>0.18672634249058467</v>
      </c>
      <c r="BR123" s="5">
        <v>0.78167462607052207</v>
      </c>
      <c r="BS123" s="5">
        <v>0.18672634249058467</v>
      </c>
      <c r="BT123" s="5">
        <v>1.8672634249058466</v>
      </c>
      <c r="BU123" s="5">
        <v>1.8672634249058466</v>
      </c>
      <c r="BV123" s="5">
        <v>0.18672634249058467</v>
      </c>
      <c r="BW123" s="5">
        <v>0.18672634249058467</v>
      </c>
      <c r="BX123" s="5">
        <v>0.18672634249058467</v>
      </c>
      <c r="BY123" s="5">
        <v>6.2724999614951663E-2</v>
      </c>
      <c r="BZ123" s="5">
        <v>0.18672634249058467</v>
      </c>
      <c r="CA123" s="5">
        <v>0.18672634249058467</v>
      </c>
      <c r="CB123" s="5">
        <v>0.18672634249058467</v>
      </c>
      <c r="CC123" s="5">
        <v>0.18672634249058467</v>
      </c>
      <c r="CD123" s="5">
        <v>0.18672634249058467</v>
      </c>
      <c r="CE123" s="5">
        <v>0.12690837857116516</v>
      </c>
      <c r="CF123" s="5">
        <v>0.18672634249058467</v>
      </c>
      <c r="CG123" s="5">
        <v>0.18672634249058467</v>
      </c>
      <c r="CH123" s="5">
        <v>0.18672634249058467</v>
      </c>
      <c r="CI123" s="5" t="s">
        <v>395</v>
      </c>
      <c r="CJ123" s="5" t="s">
        <v>395</v>
      </c>
      <c r="CK123" s="5" t="s">
        <v>395</v>
      </c>
      <c r="CL123" s="5" t="s">
        <v>395</v>
      </c>
      <c r="CM123" s="5" t="s">
        <v>395</v>
      </c>
      <c r="CN123" s="5" t="s">
        <v>395</v>
      </c>
      <c r="CO123" s="5" t="s">
        <v>395</v>
      </c>
      <c r="CP123" s="5" t="s">
        <v>395</v>
      </c>
      <c r="CQ123" s="5" t="s">
        <v>395</v>
      </c>
      <c r="CR123" s="5" t="s">
        <v>395</v>
      </c>
      <c r="CS123" s="5" t="s">
        <v>395</v>
      </c>
      <c r="CT123" s="5" t="s">
        <v>395</v>
      </c>
      <c r="CU123" s="5" t="s">
        <v>395</v>
      </c>
      <c r="CV123" s="5" t="s">
        <v>395</v>
      </c>
      <c r="CW123" s="5" t="s">
        <v>395</v>
      </c>
      <c r="CX123" s="5" t="s">
        <v>395</v>
      </c>
      <c r="CY123" s="252" t="s">
        <v>395</v>
      </c>
    </row>
    <row r="124" spans="1:103" x14ac:dyDescent="0.3">
      <c r="A124" s="26" t="s">
        <v>4</v>
      </c>
      <c r="B124" s="14" t="s">
        <v>4</v>
      </c>
      <c r="C124" s="14" t="s">
        <v>19</v>
      </c>
      <c r="G124" s="4">
        <v>43332</v>
      </c>
      <c r="H124" s="16">
        <v>2018</v>
      </c>
      <c r="I124" s="121" t="s">
        <v>33</v>
      </c>
      <c r="J124" s="121">
        <v>10</v>
      </c>
      <c r="K124" s="251">
        <v>0.292873413602383</v>
      </c>
      <c r="L124" s="5">
        <v>5.4901960784313752</v>
      </c>
      <c r="M124" s="5">
        <v>0.27893942660056048</v>
      </c>
      <c r="N124" s="5">
        <v>0.60719443845656385</v>
      </c>
      <c r="O124" s="5">
        <v>1.9677408924337139</v>
      </c>
      <c r="P124" s="5">
        <v>1.7948049148523388</v>
      </c>
      <c r="Q124" s="5">
        <v>3.2576255658547097</v>
      </c>
      <c r="R124" s="5">
        <v>3.238844578572968</v>
      </c>
      <c r="S124" s="5">
        <v>0.73065854710066824</v>
      </c>
      <c r="T124" s="5">
        <v>11.875808363871524</v>
      </c>
      <c r="U124" s="5">
        <f t="shared" si="56"/>
        <v>172.10513110462068</v>
      </c>
      <c r="V124" s="5">
        <f>0.5*0.014</f>
        <v>7.0000000000000001E-3</v>
      </c>
      <c r="W124" s="5">
        <v>0.11104504541588939</v>
      </c>
      <c r="X124" s="5">
        <v>5.6389560447935305E-2</v>
      </c>
      <c r="Y124" s="5">
        <v>9.8603534806820936E-2</v>
      </c>
      <c r="Z124" s="5">
        <v>8.5933030233457039E-2</v>
      </c>
      <c r="AA124" s="5">
        <f>0.5*0.022</f>
        <v>1.0999999999999999E-2</v>
      </c>
      <c r="AB124" s="5">
        <f>0.5*0.014</f>
        <v>7.0000000000000001E-3</v>
      </c>
      <c r="AC124" s="5">
        <f t="shared" ref="AC124:AC136" si="86">0.5*0.1</f>
        <v>0.05</v>
      </c>
      <c r="AD124" s="5">
        <v>0.35197117090410268</v>
      </c>
      <c r="AE124" s="5">
        <f t="shared" ref="AE124:AE177" si="87">SUM(V124,W124,Y124,X124,AB124,AA124)</f>
        <v>0.29103814067064565</v>
      </c>
      <c r="AF124" s="5">
        <v>4.4956348350937703E-2</v>
      </c>
      <c r="AG124" s="250">
        <f>(AF124/K124)*5</f>
        <v>0.76750476934673717</v>
      </c>
      <c r="AH124" s="250">
        <v>11.850856232576664</v>
      </c>
      <c r="AI124" s="5">
        <f t="shared" ref="AI124:AJ136" si="88">0.5*0.2</f>
        <v>0.1</v>
      </c>
      <c r="AJ124" s="5">
        <f t="shared" si="88"/>
        <v>0.1</v>
      </c>
      <c r="AK124" s="5">
        <f t="shared" ref="AK124:AK136" si="89">0.5*0.02</f>
        <v>0.01</v>
      </c>
      <c r="AL124" s="5">
        <v>0.16427718040621267</v>
      </c>
      <c r="AM124" s="5">
        <f t="shared" ref="AM124:AM136" si="90">0.5*0.1</f>
        <v>0.05</v>
      </c>
      <c r="AN124" s="5">
        <v>0.39117881322182402</v>
      </c>
      <c r="AO124" s="5">
        <f>0.5*0.2</f>
        <v>0.1</v>
      </c>
      <c r="AP124" s="5">
        <f t="shared" ref="AP124:AP136" si="91">0.5*0.05</f>
        <v>2.5000000000000001E-2</v>
      </c>
      <c r="AQ124" s="5">
        <v>0.33157440594716581</v>
      </c>
      <c r="AR124" s="5">
        <v>0.12208615425461304</v>
      </c>
      <c r="AS124" s="5" t="s">
        <v>395</v>
      </c>
      <c r="AT124" s="5" t="s">
        <v>395</v>
      </c>
      <c r="AU124" s="5" t="s">
        <v>395</v>
      </c>
      <c r="AV124" s="5" t="s">
        <v>395</v>
      </c>
      <c r="AW124" s="5" t="s">
        <v>395</v>
      </c>
      <c r="AX124" s="5" t="s">
        <v>395</v>
      </c>
      <c r="AY124" s="5" t="s">
        <v>395</v>
      </c>
      <c r="AZ124" s="5" t="s">
        <v>395</v>
      </c>
      <c r="BA124" s="5" t="s">
        <v>395</v>
      </c>
      <c r="BB124" s="5" t="s">
        <v>395</v>
      </c>
      <c r="BC124" s="5">
        <v>140</v>
      </c>
      <c r="BD124" s="5">
        <f t="shared" ref="BD124:BD136" si="92">0.5*0.2</f>
        <v>0.1</v>
      </c>
      <c r="BE124" s="5">
        <f t="shared" ref="BE124:BE136" si="93">0.5*0.1</f>
        <v>0.05</v>
      </c>
      <c r="BF124" s="5">
        <v>3.9414414414414414E-2</v>
      </c>
      <c r="BG124" s="5">
        <f t="shared" ref="BG124:BG130" si="94">0.5*0.2</f>
        <v>0.1</v>
      </c>
      <c r="BH124" s="5">
        <f>0.5*0.05</f>
        <v>2.5000000000000001E-2</v>
      </c>
      <c r="BI124" s="5">
        <v>6.2473817567567576</v>
      </c>
      <c r="BJ124" s="5">
        <v>0.95692567567567577</v>
      </c>
      <c r="BK124" s="5">
        <f>0.5*0.05</f>
        <v>2.5000000000000001E-2</v>
      </c>
      <c r="BL124" s="5">
        <v>4.8378659909909913</v>
      </c>
      <c r="BM124" s="5">
        <v>0.22687781531531537</v>
      </c>
      <c r="BN124" s="5">
        <v>100</v>
      </c>
      <c r="BO124" s="5">
        <f>0.5*1</f>
        <v>0.5</v>
      </c>
      <c r="BP124" s="5" t="s">
        <v>396</v>
      </c>
      <c r="BQ124" s="5">
        <v>2.1565513994647985</v>
      </c>
      <c r="BR124" s="5">
        <f>0.5*0.78</f>
        <v>0.39</v>
      </c>
      <c r="BS124" s="5">
        <f>0.5*0.2</f>
        <v>0.1</v>
      </c>
      <c r="BT124" s="5">
        <v>2.8482671838103841</v>
      </c>
      <c r="BU124" s="5">
        <v>4.94355775638215</v>
      </c>
      <c r="BV124" s="5">
        <f>0.5*0.19</f>
        <v>9.5000000000000001E-2</v>
      </c>
      <c r="BW124" s="5">
        <f>0.5*0.19</f>
        <v>9.5000000000000001E-2</v>
      </c>
      <c r="BX124" s="5">
        <f>0.5*0.19</f>
        <v>9.5000000000000001E-2</v>
      </c>
      <c r="BY124" s="5">
        <v>0.46182250865355157</v>
      </c>
      <c r="BZ124" s="5">
        <v>1.96622118572614</v>
      </c>
      <c r="CA124" s="5">
        <f t="shared" ref="CA124:CA136" si="95">0.5*0.19</f>
        <v>9.5000000000000001E-2</v>
      </c>
      <c r="CB124" s="5">
        <v>0.27326767661836199</v>
      </c>
      <c r="CC124" s="5">
        <v>10.957537485233415</v>
      </c>
      <c r="CD124" s="5">
        <f>0.5*0.19</f>
        <v>9.5000000000000001E-2</v>
      </c>
      <c r="CE124" s="5">
        <v>0.56363211476430231</v>
      </c>
      <c r="CF124" s="5">
        <f t="shared" ref="CF124:CH132" si="96">0.5*0.19</f>
        <v>9.5000000000000001E-2</v>
      </c>
      <c r="CG124" s="5">
        <f t="shared" si="96"/>
        <v>9.5000000000000001E-2</v>
      </c>
      <c r="CH124" s="5">
        <f t="shared" si="96"/>
        <v>9.5000000000000001E-2</v>
      </c>
      <c r="CI124" s="5" t="s">
        <v>395</v>
      </c>
      <c r="CJ124" s="5" t="s">
        <v>395</v>
      </c>
      <c r="CK124" s="5" t="s">
        <v>395</v>
      </c>
      <c r="CL124" s="5" t="s">
        <v>395</v>
      </c>
      <c r="CM124" s="5" t="s">
        <v>395</v>
      </c>
      <c r="CN124" s="5" t="s">
        <v>395</v>
      </c>
      <c r="CO124" s="5" t="s">
        <v>395</v>
      </c>
      <c r="CP124" s="5" t="s">
        <v>395</v>
      </c>
      <c r="CQ124" s="5" t="s">
        <v>395</v>
      </c>
      <c r="CR124" s="5" t="s">
        <v>395</v>
      </c>
      <c r="CS124" s="5" t="s">
        <v>395</v>
      </c>
      <c r="CT124" s="5" t="s">
        <v>395</v>
      </c>
      <c r="CU124" s="5" t="s">
        <v>395</v>
      </c>
      <c r="CV124" s="5" t="s">
        <v>395</v>
      </c>
      <c r="CW124" s="5" t="s">
        <v>395</v>
      </c>
      <c r="CX124" s="5" t="s">
        <v>395</v>
      </c>
      <c r="CY124" s="252" t="s">
        <v>395</v>
      </c>
    </row>
    <row r="125" spans="1:103" x14ac:dyDescent="0.3">
      <c r="A125" s="26" t="s">
        <v>82</v>
      </c>
      <c r="B125" s="14" t="s">
        <v>82</v>
      </c>
      <c r="C125" s="14" t="s">
        <v>19</v>
      </c>
      <c r="G125" s="4">
        <v>43329</v>
      </c>
      <c r="H125" s="16">
        <v>2018</v>
      </c>
      <c r="I125" s="121" t="s">
        <v>33</v>
      </c>
      <c r="J125" s="121">
        <v>15</v>
      </c>
      <c r="K125" s="251">
        <v>0.25720620842575137</v>
      </c>
      <c r="L125" s="5">
        <v>3.2450808694756677</v>
      </c>
      <c r="M125" s="5">
        <v>0.68899128290835587</v>
      </c>
      <c r="N125" s="5">
        <v>1.2293456115012402</v>
      </c>
      <c r="O125" s="5">
        <v>4.6938896402560601</v>
      </c>
      <c r="P125" s="5">
        <v>3.8195135216425982</v>
      </c>
      <c r="Q125" s="5">
        <v>7.9998650273419969</v>
      </c>
      <c r="R125" s="5">
        <v>7.3394171546110716</v>
      </c>
      <c r="S125" s="5">
        <v>2.4935294199585876</v>
      </c>
      <c r="T125" s="5">
        <v>28.264551658219911</v>
      </c>
      <c r="U125" s="5">
        <f t="shared" si="56"/>
        <v>475.2031120515108</v>
      </c>
      <c r="V125" s="5">
        <f>0.5*0.013</f>
        <v>6.4999999999999997E-3</v>
      </c>
      <c r="W125" s="5">
        <v>8.6783707965423215E-2</v>
      </c>
      <c r="X125" s="5">
        <v>3.1317323877682657E-2</v>
      </c>
      <c r="Y125" s="5">
        <v>4.7012528414843338E-2</v>
      </c>
      <c r="Z125" s="5">
        <f>0.5*0.013</f>
        <v>6.4999999999999997E-3</v>
      </c>
      <c r="AA125" s="5">
        <f>0.5*0.02</f>
        <v>0.01</v>
      </c>
      <c r="AB125" s="5">
        <v>3.0430310686378602E-2</v>
      </c>
      <c r="AC125" s="5">
        <f t="shared" si="86"/>
        <v>0.05</v>
      </c>
      <c r="AD125" s="5">
        <v>0.19554387094432782</v>
      </c>
      <c r="AE125" s="5">
        <f t="shared" si="87"/>
        <v>0.21204387094432783</v>
      </c>
      <c r="AF125" s="5">
        <v>2.8855094118948973E-2</v>
      </c>
      <c r="AG125" s="250">
        <f t="shared" ref="AG125:AG133" si="97">(AF125/K125)*5</f>
        <v>0.56093307963984618</v>
      </c>
      <c r="AH125" s="250">
        <v>3.9216209010930423</v>
      </c>
      <c r="AI125" s="5">
        <f t="shared" si="88"/>
        <v>0.1</v>
      </c>
      <c r="AJ125" s="5">
        <f t="shared" si="88"/>
        <v>0.1</v>
      </c>
      <c r="AK125" s="5">
        <f t="shared" si="89"/>
        <v>0.01</v>
      </c>
      <c r="AL125" s="5">
        <f>0.5*0.1</f>
        <v>0.05</v>
      </c>
      <c r="AM125" s="5">
        <f t="shared" si="90"/>
        <v>0.05</v>
      </c>
      <c r="AN125" s="5">
        <f>0.5*0.1</f>
        <v>0.05</v>
      </c>
      <c r="AO125" s="5">
        <f>0.5*0.2</f>
        <v>0.1</v>
      </c>
      <c r="AP125" s="5">
        <f t="shared" si="91"/>
        <v>2.5000000000000001E-2</v>
      </c>
      <c r="AQ125" s="5">
        <v>0.14399123196777155</v>
      </c>
      <c r="AR125" s="5">
        <v>0.1151900234011671</v>
      </c>
      <c r="AS125" s="5" t="s">
        <v>395</v>
      </c>
      <c r="AT125" s="5" t="s">
        <v>395</v>
      </c>
      <c r="AU125" s="5" t="s">
        <v>395</v>
      </c>
      <c r="AV125" s="5" t="s">
        <v>395</v>
      </c>
      <c r="AW125" s="5" t="s">
        <v>395</v>
      </c>
      <c r="AX125" s="5" t="s">
        <v>395</v>
      </c>
      <c r="AY125" s="5" t="s">
        <v>395</v>
      </c>
      <c r="AZ125" s="5" t="s">
        <v>395</v>
      </c>
      <c r="BA125" s="5" t="s">
        <v>395</v>
      </c>
      <c r="BB125" s="5" t="s">
        <v>395</v>
      </c>
      <c r="BC125" s="5">
        <v>58.548868560423685</v>
      </c>
      <c r="BD125" s="5">
        <f t="shared" si="92"/>
        <v>0.1</v>
      </c>
      <c r="BE125" s="5">
        <f t="shared" si="93"/>
        <v>0.05</v>
      </c>
      <c r="BF125" s="5">
        <v>0.31937088749799392</v>
      </c>
      <c r="BG125" s="5">
        <f t="shared" si="94"/>
        <v>0.1</v>
      </c>
      <c r="BH125" s="5">
        <v>8.9231263039640463E-2</v>
      </c>
      <c r="BI125" s="5">
        <v>2.0865671641791042</v>
      </c>
      <c r="BJ125" s="5">
        <v>0.6913818006740492</v>
      </c>
      <c r="BK125" s="5">
        <v>0.68656716417910446</v>
      </c>
      <c r="BL125" s="5">
        <v>1.8276681110576152</v>
      </c>
      <c r="BM125" s="5">
        <v>0.32992136093724922</v>
      </c>
      <c r="BN125" s="5">
        <v>240</v>
      </c>
      <c r="BO125" s="5">
        <v>3.7147480048698935</v>
      </c>
      <c r="BP125" s="5" t="s">
        <v>396</v>
      </c>
      <c r="BQ125" s="5">
        <f>0.5*0.2</f>
        <v>0.1</v>
      </c>
      <c r="BR125" s="5">
        <v>2.8242698857238118</v>
      </c>
      <c r="BS125" s="5">
        <f>0.5*0.2</f>
        <v>0.1</v>
      </c>
      <c r="BT125" s="5" t="s">
        <v>397</v>
      </c>
      <c r="BU125" s="5" t="s">
        <v>397</v>
      </c>
      <c r="BV125" s="5">
        <f t="shared" ref="BV125:BV136" si="98">0.5*0.19</f>
        <v>9.5000000000000001E-2</v>
      </c>
      <c r="BW125" s="5">
        <v>0.21533437308481992</v>
      </c>
      <c r="BX125" s="5">
        <f>0.5*0.19</f>
        <v>9.5000000000000001E-2</v>
      </c>
      <c r="BY125" s="5">
        <v>0.15844538234022512</v>
      </c>
      <c r="BZ125" s="5">
        <v>1.5987682877689999</v>
      </c>
      <c r="CA125" s="5">
        <f t="shared" si="95"/>
        <v>9.5000000000000001E-2</v>
      </c>
      <c r="CB125" s="5">
        <v>0.28858978820912901</v>
      </c>
      <c r="CC125" s="5">
        <f>0.5*0.19</f>
        <v>9.5000000000000001E-2</v>
      </c>
      <c r="CD125" s="5">
        <v>0.23481159751060296</v>
      </c>
      <c r="CE125" s="5">
        <v>1.5119068209517521</v>
      </c>
      <c r="CF125" s="5">
        <f t="shared" si="96"/>
        <v>9.5000000000000001E-2</v>
      </c>
      <c r="CG125" s="5">
        <f t="shared" si="96"/>
        <v>9.5000000000000001E-2</v>
      </c>
      <c r="CH125" s="5">
        <f t="shared" si="96"/>
        <v>9.5000000000000001E-2</v>
      </c>
      <c r="CI125" s="5" t="s">
        <v>395</v>
      </c>
      <c r="CJ125" s="5" t="s">
        <v>395</v>
      </c>
      <c r="CK125" s="5" t="s">
        <v>395</v>
      </c>
      <c r="CL125" s="5" t="s">
        <v>395</v>
      </c>
      <c r="CM125" s="5" t="s">
        <v>395</v>
      </c>
      <c r="CN125" s="5" t="s">
        <v>395</v>
      </c>
      <c r="CO125" s="5" t="s">
        <v>395</v>
      </c>
      <c r="CP125" s="5" t="s">
        <v>395</v>
      </c>
      <c r="CQ125" s="5" t="s">
        <v>395</v>
      </c>
      <c r="CR125" s="5" t="s">
        <v>395</v>
      </c>
      <c r="CS125" s="5" t="s">
        <v>395</v>
      </c>
      <c r="CT125" s="5" t="s">
        <v>395</v>
      </c>
      <c r="CU125" s="5" t="s">
        <v>395</v>
      </c>
      <c r="CV125" s="5" t="s">
        <v>395</v>
      </c>
      <c r="CW125" s="5" t="s">
        <v>395</v>
      </c>
      <c r="CX125" s="5" t="s">
        <v>395</v>
      </c>
      <c r="CY125" s="252" t="s">
        <v>395</v>
      </c>
    </row>
    <row r="126" spans="1:103" x14ac:dyDescent="0.3">
      <c r="A126" s="26" t="s">
        <v>112</v>
      </c>
      <c r="B126" s="14" t="s">
        <v>24</v>
      </c>
      <c r="C126" s="14" t="s">
        <v>19</v>
      </c>
      <c r="G126" s="4">
        <v>43333</v>
      </c>
      <c r="H126" s="16">
        <v>2018</v>
      </c>
      <c r="I126" s="121" t="s">
        <v>33</v>
      </c>
      <c r="J126" s="121">
        <v>12</v>
      </c>
      <c r="K126" s="251">
        <v>0.34308164789861167</v>
      </c>
      <c r="L126" s="5">
        <v>3.6368003843382328</v>
      </c>
      <c r="M126" s="5">
        <v>0.48195788843428794</v>
      </c>
      <c r="N126" s="5">
        <v>1.1328659814389781</v>
      </c>
      <c r="O126" s="5">
        <v>3.2641652529687653</v>
      </c>
      <c r="P126" s="5">
        <v>2.6845524398762599</v>
      </c>
      <c r="Q126" s="5">
        <v>5.1638608921265341</v>
      </c>
      <c r="R126" s="5">
        <v>4.928051092705318</v>
      </c>
      <c r="S126" s="5">
        <v>1.465667099091907</v>
      </c>
      <c r="T126" s="5">
        <v>19.121120646642048</v>
      </c>
      <c r="U126" s="5">
        <f t="shared" si="56"/>
        <v>239.54309866820918</v>
      </c>
      <c r="V126" s="5">
        <f>0.5*0.013</f>
        <v>6.4999999999999997E-3</v>
      </c>
      <c r="W126" s="5">
        <v>7.4620489115553551E-2</v>
      </c>
      <c r="X126" s="5">
        <v>2.0356902382176214E-2</v>
      </c>
      <c r="Y126" s="5">
        <v>4.5954687725571854E-2</v>
      </c>
      <c r="Z126" s="5">
        <f>0.5*0.013</f>
        <v>6.4999999999999997E-3</v>
      </c>
      <c r="AA126" s="5">
        <f>0.5*0.02</f>
        <v>0.01</v>
      </c>
      <c r="AB126" s="5">
        <v>1.2448623407075811E-2</v>
      </c>
      <c r="AC126" s="5">
        <f t="shared" si="86"/>
        <v>0.05</v>
      </c>
      <c r="AD126" s="5">
        <v>0.15338070263037742</v>
      </c>
      <c r="AE126" s="5">
        <f t="shared" si="87"/>
        <v>0.16988070263037744</v>
      </c>
      <c r="AF126" s="5">
        <v>3.2574593353956689E-2</v>
      </c>
      <c r="AG126" s="250">
        <f t="shared" si="97"/>
        <v>0.47473529338391213</v>
      </c>
      <c r="AH126" s="250">
        <v>3.5299954894000902</v>
      </c>
      <c r="AI126" s="5">
        <f t="shared" si="88"/>
        <v>0.1</v>
      </c>
      <c r="AJ126" s="5">
        <f t="shared" si="88"/>
        <v>0.1</v>
      </c>
      <c r="AK126" s="5">
        <f t="shared" si="89"/>
        <v>0.01</v>
      </c>
      <c r="AL126" s="5">
        <f>0.5*0.1</f>
        <v>0.05</v>
      </c>
      <c r="AM126" s="5">
        <f t="shared" si="90"/>
        <v>0.05</v>
      </c>
      <c r="AN126" s="5">
        <f>0.5*0.1</f>
        <v>0.05</v>
      </c>
      <c r="AO126" s="5">
        <f>0.5*0.2</f>
        <v>0.1</v>
      </c>
      <c r="AP126" s="5">
        <f t="shared" si="91"/>
        <v>2.5000000000000001E-2</v>
      </c>
      <c r="AQ126" s="5">
        <v>0.13805442790557809</v>
      </c>
      <c r="AR126" s="5">
        <v>0.10611035934445948</v>
      </c>
      <c r="AS126" s="5" t="s">
        <v>395</v>
      </c>
      <c r="AT126" s="5" t="s">
        <v>395</v>
      </c>
      <c r="AU126" s="5" t="s">
        <v>395</v>
      </c>
      <c r="AV126" s="5" t="s">
        <v>395</v>
      </c>
      <c r="AW126" s="5" t="s">
        <v>395</v>
      </c>
      <c r="AX126" s="5" t="s">
        <v>395</v>
      </c>
      <c r="AY126" s="5" t="s">
        <v>395</v>
      </c>
      <c r="AZ126" s="5" t="s">
        <v>395</v>
      </c>
      <c r="BA126" s="5" t="s">
        <v>395</v>
      </c>
      <c r="BB126" s="5" t="s">
        <v>395</v>
      </c>
      <c r="BC126" s="5">
        <v>70.473956338567589</v>
      </c>
      <c r="BD126" s="5">
        <f t="shared" si="92"/>
        <v>0.1</v>
      </c>
      <c r="BE126" s="5">
        <f t="shared" si="93"/>
        <v>0.05</v>
      </c>
      <c r="BF126" s="5">
        <v>0.22660538746329628</v>
      </c>
      <c r="BG126" s="5">
        <f t="shared" si="94"/>
        <v>0.1</v>
      </c>
      <c r="BH126" s="5">
        <f>0.5*0.05</f>
        <v>2.5000000000000001E-2</v>
      </c>
      <c r="BI126" s="5">
        <v>2.9652432018383759</v>
      </c>
      <c r="BJ126" s="5">
        <v>0.93163538873994634</v>
      </c>
      <c r="BK126" s="5">
        <f t="shared" ref="BK126:BK136" si="99">0.5*0.05</f>
        <v>2.5000000000000001E-2</v>
      </c>
      <c r="BL126" s="5">
        <v>2.2960870675347884</v>
      </c>
      <c r="BM126" s="5">
        <v>0.20549917017745437</v>
      </c>
      <c r="BN126" s="5">
        <v>190</v>
      </c>
      <c r="BO126" s="5" t="s">
        <v>398</v>
      </c>
      <c r="BP126" s="5" t="s">
        <v>396</v>
      </c>
      <c r="BQ126" s="5">
        <v>0.86593309944948949</v>
      </c>
      <c r="BR126" s="5">
        <f>0.5*0.78</f>
        <v>0.39</v>
      </c>
      <c r="BS126" s="5">
        <f>0.5*0.2</f>
        <v>0.1</v>
      </c>
      <c r="BT126" s="5" t="s">
        <v>397</v>
      </c>
      <c r="BU126" s="5" t="s">
        <v>397</v>
      </c>
      <c r="BV126" s="5">
        <f t="shared" si="98"/>
        <v>9.5000000000000001E-2</v>
      </c>
      <c r="BW126" s="5">
        <f t="shared" ref="BW126:BW136" si="100">0.5*0.19</f>
        <v>9.5000000000000001E-2</v>
      </c>
      <c r="BX126" s="5">
        <f>0.5*0.19</f>
        <v>9.5000000000000001E-2</v>
      </c>
      <c r="BY126" s="5">
        <v>0.42937522720224869</v>
      </c>
      <c r="BZ126" s="5">
        <v>0.70476582515727004</v>
      </c>
      <c r="CA126" s="5">
        <f t="shared" si="95"/>
        <v>9.5000000000000001E-2</v>
      </c>
      <c r="CB126" s="5">
        <f t="shared" ref="CB126:CB131" si="101">0.5*0.19</f>
        <v>9.5000000000000001E-2</v>
      </c>
      <c r="CC126" s="5">
        <v>9.0257433236374727</v>
      </c>
      <c r="CD126" s="5">
        <f>0.5*0.19</f>
        <v>9.5000000000000001E-2</v>
      </c>
      <c r="CE126" s="5">
        <v>0.47255119565978276</v>
      </c>
      <c r="CF126" s="5">
        <f t="shared" si="96"/>
        <v>9.5000000000000001E-2</v>
      </c>
      <c r="CG126" s="5">
        <f t="shared" si="96"/>
        <v>9.5000000000000001E-2</v>
      </c>
      <c r="CH126" s="5">
        <f t="shared" si="96"/>
        <v>9.5000000000000001E-2</v>
      </c>
      <c r="CI126" s="5" t="s">
        <v>395</v>
      </c>
      <c r="CJ126" s="5" t="s">
        <v>395</v>
      </c>
      <c r="CK126" s="5" t="s">
        <v>395</v>
      </c>
      <c r="CL126" s="5" t="s">
        <v>395</v>
      </c>
      <c r="CM126" s="5" t="s">
        <v>395</v>
      </c>
      <c r="CN126" s="5" t="s">
        <v>395</v>
      </c>
      <c r="CO126" s="5" t="s">
        <v>395</v>
      </c>
      <c r="CP126" s="5" t="s">
        <v>395</v>
      </c>
      <c r="CQ126" s="5" t="s">
        <v>395</v>
      </c>
      <c r="CR126" s="5" t="s">
        <v>395</v>
      </c>
      <c r="CS126" s="5" t="s">
        <v>395</v>
      </c>
      <c r="CT126" s="5" t="s">
        <v>395</v>
      </c>
      <c r="CU126" s="5" t="s">
        <v>395</v>
      </c>
      <c r="CV126" s="5" t="s">
        <v>395</v>
      </c>
      <c r="CW126" s="5" t="s">
        <v>395</v>
      </c>
      <c r="CX126" s="5" t="s">
        <v>395</v>
      </c>
      <c r="CY126" s="252" t="s">
        <v>395</v>
      </c>
    </row>
    <row r="127" spans="1:103" x14ac:dyDescent="0.3">
      <c r="A127" s="26" t="s">
        <v>21</v>
      </c>
      <c r="B127" s="14" t="s">
        <v>21</v>
      </c>
      <c r="C127" s="14" t="s">
        <v>19</v>
      </c>
      <c r="G127" s="4">
        <v>43327</v>
      </c>
      <c r="H127" s="16">
        <v>2018</v>
      </c>
      <c r="I127" s="121" t="s">
        <v>33</v>
      </c>
      <c r="J127" s="121">
        <v>12</v>
      </c>
      <c r="K127" s="251">
        <v>0.41920597456584663</v>
      </c>
      <c r="L127" s="5">
        <v>3.0491996464696083</v>
      </c>
      <c r="M127" s="5">
        <f>0.5*0.015</f>
        <v>7.4999999999999997E-3</v>
      </c>
      <c r="N127" s="5">
        <v>8.2934702084876716E-2</v>
      </c>
      <c r="O127" s="5">
        <v>1.5298550111122871</v>
      </c>
      <c r="P127" s="5">
        <v>1.3751402264789925</v>
      </c>
      <c r="Q127" s="5">
        <v>6.5432373796168903</v>
      </c>
      <c r="R127" s="5">
        <v>5.5734998412530423</v>
      </c>
      <c r="S127" s="5">
        <v>2.5909143824743364</v>
      </c>
      <c r="T127" s="5">
        <v>17.695581543020424</v>
      </c>
      <c r="U127" s="5">
        <f t="shared" si="56"/>
        <v>194.74843283724155</v>
      </c>
      <c r="V127" s="5">
        <f>0.5*0.014</f>
        <v>7.0000000000000001E-3</v>
      </c>
      <c r="W127" s="5">
        <v>0.22831771465736392</v>
      </c>
      <c r="X127" s="5">
        <v>8.2000012079135501E-2</v>
      </c>
      <c r="Y127" s="5">
        <v>0.15643782434260922</v>
      </c>
      <c r="Z127" s="5">
        <f>0.5*0.014</f>
        <v>7.0000000000000001E-3</v>
      </c>
      <c r="AA127" s="5">
        <v>4.2603244921032436E-2</v>
      </c>
      <c r="AB127" s="5">
        <v>3.0467775155647431E-2</v>
      </c>
      <c r="AC127" s="5">
        <f t="shared" si="86"/>
        <v>0.05</v>
      </c>
      <c r="AD127" s="5">
        <v>0.53982657115578858</v>
      </c>
      <c r="AE127" s="5">
        <f t="shared" si="87"/>
        <v>0.54682657115578848</v>
      </c>
      <c r="AF127" s="5">
        <v>3.0560376759445444E-2</v>
      </c>
      <c r="AG127" s="250">
        <f t="shared" si="97"/>
        <v>0.36450311557576787</v>
      </c>
      <c r="AH127" s="250">
        <v>20.195319871673902</v>
      </c>
      <c r="AI127" s="5">
        <f t="shared" si="88"/>
        <v>0.1</v>
      </c>
      <c r="AJ127" s="5">
        <f t="shared" si="88"/>
        <v>0.1</v>
      </c>
      <c r="AK127" s="5">
        <f t="shared" si="89"/>
        <v>0.01</v>
      </c>
      <c r="AL127" s="5">
        <f>0.5*0.1</f>
        <v>0.05</v>
      </c>
      <c r="AM127" s="5">
        <f t="shared" si="90"/>
        <v>0.05</v>
      </c>
      <c r="AN127" s="5">
        <v>0.34714096999433852</v>
      </c>
      <c r="AO127" s="5">
        <f>0.5*0.2</f>
        <v>0.1</v>
      </c>
      <c r="AP127" s="5">
        <f t="shared" si="91"/>
        <v>2.5000000000000001E-2</v>
      </c>
      <c r="AQ127" s="5">
        <v>0.21610995785368306</v>
      </c>
      <c r="AR127" s="5">
        <v>0.10626847832924449</v>
      </c>
      <c r="AS127" s="5" t="s">
        <v>395</v>
      </c>
      <c r="AT127" s="5" t="s">
        <v>395</v>
      </c>
      <c r="AU127" s="5" t="s">
        <v>395</v>
      </c>
      <c r="AV127" s="5" t="s">
        <v>395</v>
      </c>
      <c r="AW127" s="5" t="s">
        <v>395</v>
      </c>
      <c r="AX127" s="5" t="s">
        <v>395</v>
      </c>
      <c r="AY127" s="5" t="s">
        <v>395</v>
      </c>
      <c r="AZ127" s="5" t="s">
        <v>395</v>
      </c>
      <c r="BA127" s="5" t="s">
        <v>395</v>
      </c>
      <c r="BB127" s="5" t="s">
        <v>395</v>
      </c>
      <c r="BC127" s="5">
        <v>260</v>
      </c>
      <c r="BD127" s="5">
        <f t="shared" si="92"/>
        <v>0.1</v>
      </c>
      <c r="BE127" s="5">
        <f t="shared" si="93"/>
        <v>0.05</v>
      </c>
      <c r="BF127" s="5">
        <v>0.33271478334472765</v>
      </c>
      <c r="BG127" s="5">
        <f t="shared" si="94"/>
        <v>0.1</v>
      </c>
      <c r="BH127" s="5">
        <f>0.5*0.05</f>
        <v>2.5000000000000001E-2</v>
      </c>
      <c r="BI127" s="5">
        <v>7.2437738060357457</v>
      </c>
      <c r="BJ127" s="5">
        <v>4.4564898915909756</v>
      </c>
      <c r="BK127" s="5">
        <f t="shared" si="99"/>
        <v>2.5000000000000001E-2</v>
      </c>
      <c r="BL127" s="5">
        <v>3.9730767978643744</v>
      </c>
      <c r="BM127" s="5">
        <v>0.2076602532799427</v>
      </c>
      <c r="BN127" s="5">
        <v>90</v>
      </c>
      <c r="BO127" s="5" t="s">
        <v>398</v>
      </c>
      <c r="BP127" s="5" t="s">
        <v>396</v>
      </c>
      <c r="BQ127" s="5">
        <v>2.1790858743679076</v>
      </c>
      <c r="BR127" s="5">
        <v>2.2210987287025525</v>
      </c>
      <c r="BS127" s="5">
        <f>0.5*0.2</f>
        <v>0.1</v>
      </c>
      <c r="BT127" s="5" t="s">
        <v>397</v>
      </c>
      <c r="BU127" s="5" t="s">
        <v>397</v>
      </c>
      <c r="BV127" s="5">
        <f t="shared" si="98"/>
        <v>9.5000000000000001E-2</v>
      </c>
      <c r="BW127" s="5">
        <f t="shared" si="100"/>
        <v>9.5000000000000001E-2</v>
      </c>
      <c r="BX127" s="5">
        <v>0.25833495611277191</v>
      </c>
      <c r="BY127" s="5">
        <v>0.55409375993113974</v>
      </c>
      <c r="BZ127" s="5">
        <v>1.6016051477059801</v>
      </c>
      <c r="CA127" s="5">
        <f t="shared" si="95"/>
        <v>9.5000000000000001E-2</v>
      </c>
      <c r="CB127" s="5">
        <f t="shared" si="101"/>
        <v>9.5000000000000001E-2</v>
      </c>
      <c r="CC127" s="5">
        <f>0.5*0.19</f>
        <v>9.5000000000000001E-2</v>
      </c>
      <c r="CD127" s="5">
        <f>0.5*0.19</f>
        <v>9.5000000000000001E-2</v>
      </c>
      <c r="CE127" s="5">
        <v>0.64685840057097199</v>
      </c>
      <c r="CF127" s="5">
        <f t="shared" si="96"/>
        <v>9.5000000000000001E-2</v>
      </c>
      <c r="CG127" s="5">
        <f t="shared" si="96"/>
        <v>9.5000000000000001E-2</v>
      </c>
      <c r="CH127" s="5">
        <f t="shared" si="96"/>
        <v>9.5000000000000001E-2</v>
      </c>
      <c r="CI127" s="5" t="s">
        <v>395</v>
      </c>
      <c r="CJ127" s="5" t="s">
        <v>395</v>
      </c>
      <c r="CK127" s="5" t="s">
        <v>395</v>
      </c>
      <c r="CL127" s="5" t="s">
        <v>395</v>
      </c>
      <c r="CM127" s="5" t="s">
        <v>395</v>
      </c>
      <c r="CN127" s="5" t="s">
        <v>395</v>
      </c>
      <c r="CO127" s="5" t="s">
        <v>395</v>
      </c>
      <c r="CP127" s="5" t="s">
        <v>395</v>
      </c>
      <c r="CQ127" s="5" t="s">
        <v>395</v>
      </c>
      <c r="CR127" s="5" t="s">
        <v>395</v>
      </c>
      <c r="CS127" s="5" t="s">
        <v>395</v>
      </c>
      <c r="CT127" s="5" t="s">
        <v>395</v>
      </c>
      <c r="CU127" s="5" t="s">
        <v>395</v>
      </c>
      <c r="CV127" s="5" t="s">
        <v>395</v>
      </c>
      <c r="CW127" s="5" t="s">
        <v>395</v>
      </c>
      <c r="CX127" s="5" t="s">
        <v>395</v>
      </c>
      <c r="CY127" s="252" t="s">
        <v>395</v>
      </c>
    </row>
    <row r="128" spans="1:103" x14ac:dyDescent="0.3">
      <c r="A128" s="26" t="s">
        <v>22</v>
      </c>
      <c r="B128" s="14" t="s">
        <v>22</v>
      </c>
      <c r="C128" s="14" t="s">
        <v>19</v>
      </c>
      <c r="G128" s="4">
        <v>43332</v>
      </c>
      <c r="H128" s="16">
        <v>2018</v>
      </c>
      <c r="I128" s="121" t="s">
        <v>33</v>
      </c>
      <c r="J128" s="121">
        <v>10</v>
      </c>
      <c r="K128" s="251">
        <v>0.30712932104814117</v>
      </c>
      <c r="L128" s="5">
        <v>3.830376371654189</v>
      </c>
      <c r="M128" s="5">
        <v>0.6939479035537911</v>
      </c>
      <c r="N128" s="5">
        <v>2.0754381717827055</v>
      </c>
      <c r="O128" s="5">
        <v>7.121884380749492</v>
      </c>
      <c r="P128" s="5">
        <v>5.5400213033794907</v>
      </c>
      <c r="Q128" s="5">
        <v>13.700866660211098</v>
      </c>
      <c r="R128" s="5">
        <v>12.835189309576839</v>
      </c>
      <c r="S128" s="5">
        <v>4.2656095671540619</v>
      </c>
      <c r="T128" s="5">
        <v>46.232957296407477</v>
      </c>
      <c r="U128" s="5">
        <f t="shared" si="56"/>
        <v>662.47233989504946</v>
      </c>
      <c r="V128" s="5">
        <f>0.5*0.013</f>
        <v>6.4999999999999997E-3</v>
      </c>
      <c r="W128" s="5">
        <v>0.28488883099087009</v>
      </c>
      <c r="X128" s="5">
        <v>0.10052463025888335</v>
      </c>
      <c r="Y128" s="5">
        <v>0.27551925850083175</v>
      </c>
      <c r="Z128" s="5">
        <f>0.5*0.013</f>
        <v>6.4999999999999997E-3</v>
      </c>
      <c r="AA128" s="5">
        <v>3.9410836842264603E-2</v>
      </c>
      <c r="AB128" s="5">
        <v>4.5657929947623577E-2</v>
      </c>
      <c r="AC128" s="5">
        <f t="shared" si="86"/>
        <v>0.05</v>
      </c>
      <c r="AD128" s="5">
        <v>0.74600148654047338</v>
      </c>
      <c r="AE128" s="5">
        <f t="shared" si="87"/>
        <v>0.75250148654047344</v>
      </c>
      <c r="AF128" s="5">
        <v>5.4708531035150568E-2</v>
      </c>
      <c r="AG128" s="250">
        <f t="shared" si="97"/>
        <v>0.89064324513932103</v>
      </c>
      <c r="AH128" s="250">
        <v>15.152957171991844</v>
      </c>
      <c r="AI128" s="5">
        <f t="shared" si="88"/>
        <v>0.1</v>
      </c>
      <c r="AJ128" s="5">
        <f t="shared" si="88"/>
        <v>0.1</v>
      </c>
      <c r="AK128" s="5">
        <f t="shared" si="89"/>
        <v>0.01</v>
      </c>
      <c r="AL128" s="5">
        <v>0.19520248616101776</v>
      </c>
      <c r="AM128" s="5">
        <f t="shared" si="90"/>
        <v>0.05</v>
      </c>
      <c r="AN128" s="5">
        <v>0.50587549771778184</v>
      </c>
      <c r="AO128" s="5">
        <f>0.5*0.2</f>
        <v>0.1</v>
      </c>
      <c r="AP128" s="5">
        <f t="shared" si="91"/>
        <v>2.5000000000000001E-2</v>
      </c>
      <c r="AQ128" s="5">
        <v>0.62254378297886115</v>
      </c>
      <c r="AR128" s="5">
        <v>0.11714415201838722</v>
      </c>
      <c r="AS128" s="5" t="s">
        <v>395</v>
      </c>
      <c r="AT128" s="5" t="s">
        <v>395</v>
      </c>
      <c r="AU128" s="5" t="s">
        <v>395</v>
      </c>
      <c r="AV128" s="5" t="s">
        <v>395</v>
      </c>
      <c r="AW128" s="5" t="s">
        <v>395</v>
      </c>
      <c r="AX128" s="5" t="s">
        <v>395</v>
      </c>
      <c r="AY128" s="5" t="s">
        <v>395</v>
      </c>
      <c r="AZ128" s="5" t="s">
        <v>395</v>
      </c>
      <c r="BA128" s="5" t="s">
        <v>395</v>
      </c>
      <c r="BB128" s="5" t="s">
        <v>395</v>
      </c>
      <c r="BC128" s="5">
        <v>110</v>
      </c>
      <c r="BD128" s="5">
        <f t="shared" si="92"/>
        <v>0.1</v>
      </c>
      <c r="BE128" s="5">
        <f t="shared" si="93"/>
        <v>0.05</v>
      </c>
      <c r="BF128" s="5">
        <v>0.15173566192324278</v>
      </c>
      <c r="BG128" s="5">
        <f t="shared" si="94"/>
        <v>0.1</v>
      </c>
      <c r="BH128" s="5">
        <f>0.5*0.05</f>
        <v>2.5000000000000001E-2</v>
      </c>
      <c r="BI128" s="5">
        <v>2.8597186287192757</v>
      </c>
      <c r="BJ128" s="5">
        <v>1.4092820181112549</v>
      </c>
      <c r="BK128" s="5">
        <f t="shared" si="99"/>
        <v>2.5000000000000001E-2</v>
      </c>
      <c r="BL128" s="5">
        <v>3.0304279862009489</v>
      </c>
      <c r="BM128" s="5">
        <v>0.18080799913755932</v>
      </c>
      <c r="BN128" s="5">
        <v>110</v>
      </c>
      <c r="BO128" s="5">
        <v>2.0811106317668981</v>
      </c>
      <c r="BP128" s="5" t="s">
        <v>396</v>
      </c>
      <c r="BQ128" s="5">
        <v>0.32136058549477453</v>
      </c>
      <c r="BR128" s="5">
        <f>0.5*0.78</f>
        <v>0.39</v>
      </c>
      <c r="BS128" s="5">
        <v>1.2956023230632374</v>
      </c>
      <c r="BT128" s="5" t="s">
        <v>397</v>
      </c>
      <c r="BU128" s="5" t="s">
        <v>397</v>
      </c>
      <c r="BV128" s="5">
        <f t="shared" si="98"/>
        <v>9.5000000000000001E-2</v>
      </c>
      <c r="BW128" s="5">
        <f t="shared" si="100"/>
        <v>9.5000000000000001E-2</v>
      </c>
      <c r="BX128" s="5">
        <v>0.21172998098916415</v>
      </c>
      <c r="BY128" s="5">
        <v>0.58464481295433379</v>
      </c>
      <c r="BZ128" s="5">
        <v>3.77051507090437</v>
      </c>
      <c r="CA128" s="5">
        <f t="shared" si="95"/>
        <v>9.5000000000000001E-2</v>
      </c>
      <c r="CB128" s="5">
        <f t="shared" si="101"/>
        <v>9.5000000000000001E-2</v>
      </c>
      <c r="CC128" s="5">
        <f>0.5*0.19</f>
        <v>9.5000000000000001E-2</v>
      </c>
      <c r="CD128" s="5">
        <f>0.5*0.19</f>
        <v>9.5000000000000001E-2</v>
      </c>
      <c r="CE128" s="5">
        <v>0.50786539393511243</v>
      </c>
      <c r="CF128" s="5">
        <f t="shared" si="96"/>
        <v>9.5000000000000001E-2</v>
      </c>
      <c r="CG128" s="5">
        <f t="shared" si="96"/>
        <v>9.5000000000000001E-2</v>
      </c>
      <c r="CH128" s="5">
        <f t="shared" si="96"/>
        <v>9.5000000000000001E-2</v>
      </c>
      <c r="CI128" s="5" t="s">
        <v>395</v>
      </c>
      <c r="CJ128" s="5" t="s">
        <v>395</v>
      </c>
      <c r="CK128" s="5" t="s">
        <v>395</v>
      </c>
      <c r="CL128" s="5" t="s">
        <v>395</v>
      </c>
      <c r="CM128" s="5" t="s">
        <v>395</v>
      </c>
      <c r="CN128" s="5" t="s">
        <v>395</v>
      </c>
      <c r="CO128" s="5" t="s">
        <v>395</v>
      </c>
      <c r="CP128" s="5" t="s">
        <v>395</v>
      </c>
      <c r="CQ128" s="5" t="s">
        <v>395</v>
      </c>
      <c r="CR128" s="5" t="s">
        <v>395</v>
      </c>
      <c r="CS128" s="5" t="s">
        <v>395</v>
      </c>
      <c r="CT128" s="5" t="s">
        <v>395</v>
      </c>
      <c r="CU128" s="5" t="s">
        <v>395</v>
      </c>
      <c r="CV128" s="5" t="s">
        <v>395</v>
      </c>
      <c r="CW128" s="5" t="s">
        <v>395</v>
      </c>
      <c r="CX128" s="5" t="s">
        <v>395</v>
      </c>
      <c r="CY128" s="252" t="s">
        <v>395</v>
      </c>
    </row>
    <row r="129" spans="1:103" x14ac:dyDescent="0.3">
      <c r="A129" s="26" t="s">
        <v>25</v>
      </c>
      <c r="B129" s="14" t="s">
        <v>25</v>
      </c>
      <c r="C129" s="14" t="s">
        <v>19</v>
      </c>
      <c r="G129" s="4">
        <v>43327</v>
      </c>
      <c r="H129" s="16">
        <v>2018</v>
      </c>
      <c r="I129" s="121" t="s">
        <v>33</v>
      </c>
      <c r="J129" s="121">
        <v>11</v>
      </c>
      <c r="K129" s="251">
        <v>0.28651096160247419</v>
      </c>
      <c r="L129" s="5">
        <v>3.3899277274291575</v>
      </c>
      <c r="M129" s="5">
        <f>0.5*0.015</f>
        <v>7.4999999999999997E-3</v>
      </c>
      <c r="N129" s="5">
        <v>8.9675151034960876E-2</v>
      </c>
      <c r="O129" s="5">
        <v>0.78679805882935527</v>
      </c>
      <c r="P129" s="5">
        <v>0.73567396256313755</v>
      </c>
      <c r="Q129" s="5">
        <v>3.1366693077151631</v>
      </c>
      <c r="R129" s="5">
        <v>2.7038724373576315</v>
      </c>
      <c r="S129" s="5">
        <v>1.2078191542042191</v>
      </c>
      <c r="T129" s="5">
        <v>8.6605080717044682</v>
      </c>
      <c r="U129" s="5">
        <f t="shared" si="56"/>
        <v>138.42985386624088</v>
      </c>
      <c r="V129" s="5">
        <f>0.5*0.013</f>
        <v>6.4999999999999997E-3</v>
      </c>
      <c r="W129" s="5">
        <v>8.0942882063804955E-2</v>
      </c>
      <c r="X129" s="5">
        <v>3.9544751251164099E-2</v>
      </c>
      <c r="Y129" s="5">
        <v>8.4235997060343556E-2</v>
      </c>
      <c r="Z129" s="5">
        <f>0.5*0.013</f>
        <v>6.4999999999999997E-3</v>
      </c>
      <c r="AA129" s="5">
        <v>2.7045671296966493E-2</v>
      </c>
      <c r="AB129" s="5">
        <v>1.8650244165199812E-2</v>
      </c>
      <c r="AC129" s="5">
        <f t="shared" si="86"/>
        <v>0.05</v>
      </c>
      <c r="AD129" s="5">
        <v>0.25041954583747894</v>
      </c>
      <c r="AE129" s="5">
        <f t="shared" si="87"/>
        <v>0.25691954583747895</v>
      </c>
      <c r="AF129" s="5">
        <v>3.0809646429632565E-2</v>
      </c>
      <c r="AG129" s="250">
        <f t="shared" si="97"/>
        <v>0.53766959311630236</v>
      </c>
      <c r="AH129" s="250">
        <v>33.479955928468513</v>
      </c>
      <c r="AI129" s="5">
        <f t="shared" si="88"/>
        <v>0.1</v>
      </c>
      <c r="AJ129" s="5">
        <f t="shared" si="88"/>
        <v>0.1</v>
      </c>
      <c r="AK129" s="5">
        <f t="shared" si="89"/>
        <v>0.01</v>
      </c>
      <c r="AL129" s="5">
        <f>0.5*0.1</f>
        <v>0.05</v>
      </c>
      <c r="AM129" s="5">
        <f t="shared" si="90"/>
        <v>0.05</v>
      </c>
      <c r="AN129" s="5">
        <v>0.61606915840325449</v>
      </c>
      <c r="AO129" s="5">
        <v>0.26838432635534082</v>
      </c>
      <c r="AP129" s="5">
        <f t="shared" si="91"/>
        <v>2.5000000000000001E-2</v>
      </c>
      <c r="AQ129" s="5">
        <v>0.29327344125208349</v>
      </c>
      <c r="AR129" s="5">
        <v>8.6976297426335572E-2</v>
      </c>
      <c r="AS129" s="5" t="s">
        <v>395</v>
      </c>
      <c r="AT129" s="5" t="s">
        <v>395</v>
      </c>
      <c r="AU129" s="5" t="s">
        <v>395</v>
      </c>
      <c r="AV129" s="5" t="s">
        <v>395</v>
      </c>
      <c r="AW129" s="5" t="s">
        <v>395</v>
      </c>
      <c r="AX129" s="5" t="s">
        <v>395</v>
      </c>
      <c r="AY129" s="5" t="s">
        <v>395</v>
      </c>
      <c r="AZ129" s="5" t="s">
        <v>395</v>
      </c>
      <c r="BA129" s="5" t="s">
        <v>395</v>
      </c>
      <c r="BB129" s="5" t="s">
        <v>395</v>
      </c>
      <c r="BC129" s="5">
        <v>280</v>
      </c>
      <c r="BD129" s="5">
        <f t="shared" si="92"/>
        <v>0.1</v>
      </c>
      <c r="BE129" s="5">
        <f t="shared" si="93"/>
        <v>0.05</v>
      </c>
      <c r="BF129" s="5">
        <v>0.23168967784352401</v>
      </c>
      <c r="BG129" s="5">
        <f t="shared" si="94"/>
        <v>0.1</v>
      </c>
      <c r="BH129" s="5">
        <f>0.5*0.05</f>
        <v>2.5000000000000001E-2</v>
      </c>
      <c r="BI129" s="5">
        <v>5.9147140039447725</v>
      </c>
      <c r="BJ129" s="5">
        <v>2.6138067061143979</v>
      </c>
      <c r="BK129" s="5">
        <f t="shared" si="99"/>
        <v>2.5000000000000001E-2</v>
      </c>
      <c r="BL129" s="5">
        <v>2.4442077580539117</v>
      </c>
      <c r="BM129" s="5">
        <v>0.16301643655489809</v>
      </c>
      <c r="BN129" s="5">
        <v>170</v>
      </c>
      <c r="BO129" s="5" t="s">
        <v>398</v>
      </c>
      <c r="BP129" s="5" t="s">
        <v>396</v>
      </c>
      <c r="BQ129" s="5">
        <f>0.5*0.2</f>
        <v>0.1</v>
      </c>
      <c r="BR129" s="5">
        <f>0.5*0.78</f>
        <v>0.39</v>
      </c>
      <c r="BS129" s="5">
        <f>0.5*0.2</f>
        <v>0.1</v>
      </c>
      <c r="BT129" s="5" t="s">
        <v>397</v>
      </c>
      <c r="BU129" s="5" t="s">
        <v>397</v>
      </c>
      <c r="BV129" s="5">
        <f t="shared" si="98"/>
        <v>9.5000000000000001E-2</v>
      </c>
      <c r="BW129" s="5">
        <f t="shared" si="100"/>
        <v>9.5000000000000001E-2</v>
      </c>
      <c r="BX129" s="5">
        <f>0.5*0.19</f>
        <v>9.5000000000000001E-2</v>
      </c>
      <c r="BY129" s="5">
        <v>0.25574563521606392</v>
      </c>
      <c r="BZ129" s="5">
        <f>0.5*0.19</f>
        <v>9.5000000000000001E-2</v>
      </c>
      <c r="CA129" s="5">
        <f t="shared" si="95"/>
        <v>9.5000000000000001E-2</v>
      </c>
      <c r="CB129" s="5">
        <f t="shared" si="101"/>
        <v>9.5000000000000001E-2</v>
      </c>
      <c r="CC129" s="5">
        <f>0.5*0.19</f>
        <v>9.5000000000000001E-2</v>
      </c>
      <c r="CD129" s="5">
        <f>0.5*0.19</f>
        <v>9.5000000000000001E-2</v>
      </c>
      <c r="CE129" s="5">
        <v>0.80503432368330841</v>
      </c>
      <c r="CF129" s="5">
        <f t="shared" si="96"/>
        <v>9.5000000000000001E-2</v>
      </c>
      <c r="CG129" s="5">
        <f t="shared" si="96"/>
        <v>9.5000000000000001E-2</v>
      </c>
      <c r="CH129" s="5">
        <f t="shared" si="96"/>
        <v>9.5000000000000001E-2</v>
      </c>
      <c r="CI129" s="5" t="s">
        <v>395</v>
      </c>
      <c r="CJ129" s="5" t="s">
        <v>395</v>
      </c>
      <c r="CK129" s="5" t="s">
        <v>395</v>
      </c>
      <c r="CL129" s="5" t="s">
        <v>395</v>
      </c>
      <c r="CM129" s="5" t="s">
        <v>395</v>
      </c>
      <c r="CN129" s="5" t="s">
        <v>395</v>
      </c>
      <c r="CO129" s="5" t="s">
        <v>395</v>
      </c>
      <c r="CP129" s="5" t="s">
        <v>395</v>
      </c>
      <c r="CQ129" s="5" t="s">
        <v>395</v>
      </c>
      <c r="CR129" s="5" t="s">
        <v>395</v>
      </c>
      <c r="CS129" s="5" t="s">
        <v>395</v>
      </c>
      <c r="CT129" s="5" t="s">
        <v>395</v>
      </c>
      <c r="CU129" s="5" t="s">
        <v>395</v>
      </c>
      <c r="CV129" s="5" t="s">
        <v>395</v>
      </c>
      <c r="CW129" s="5" t="s">
        <v>395</v>
      </c>
      <c r="CX129" s="5" t="s">
        <v>395</v>
      </c>
      <c r="CY129" s="252" t="s">
        <v>395</v>
      </c>
    </row>
    <row r="130" spans="1:103" x14ac:dyDescent="0.3">
      <c r="A130" s="26" t="s">
        <v>5</v>
      </c>
      <c r="B130" s="14" t="s">
        <v>5</v>
      </c>
      <c r="C130" s="14" t="s">
        <v>19</v>
      </c>
      <c r="G130" s="4">
        <v>43332</v>
      </c>
      <c r="H130" s="16">
        <v>2018</v>
      </c>
      <c r="I130" s="121" t="s">
        <v>33</v>
      </c>
      <c r="J130" s="121">
        <v>12</v>
      </c>
      <c r="K130" s="251">
        <v>0.20147327331106513</v>
      </c>
      <c r="L130" s="5">
        <v>3.2044516933704186</v>
      </c>
      <c r="M130" s="5">
        <v>0.67163660278090942</v>
      </c>
      <c r="N130" s="5">
        <v>1.7113819992484027</v>
      </c>
      <c r="O130" s="5">
        <v>5.8178034573468622</v>
      </c>
      <c r="P130" s="5">
        <v>5.8379650507328069</v>
      </c>
      <c r="Q130" s="5">
        <v>9.7315435926343472</v>
      </c>
      <c r="R130" s="5">
        <v>9.0027245396467492</v>
      </c>
      <c r="S130" s="5">
        <v>2.2164740698985343</v>
      </c>
      <c r="T130" s="5">
        <v>34.98952931228861</v>
      </c>
      <c r="U130" s="5">
        <f t="shared" si="56"/>
        <v>723.45983619740923</v>
      </c>
      <c r="V130" s="5">
        <f>0.5*0.012</f>
        <v>6.0000000000000001E-3</v>
      </c>
      <c r="W130" s="5">
        <v>0.26001460462533249</v>
      </c>
      <c r="X130" s="5">
        <v>7.7446728545998184E-2</v>
      </c>
      <c r="Y130" s="5">
        <v>0.18761107922220391</v>
      </c>
      <c r="Z130" s="5">
        <v>1.0239421309245508E-2</v>
      </c>
      <c r="AA130" s="5">
        <v>3.105319826962773E-2</v>
      </c>
      <c r="AB130" s="5">
        <v>3.6759044022560097E-2</v>
      </c>
      <c r="AC130" s="5">
        <f t="shared" si="86"/>
        <v>0.05</v>
      </c>
      <c r="AD130" s="5">
        <v>0.60312407599496787</v>
      </c>
      <c r="AE130" s="5">
        <f t="shared" si="87"/>
        <v>0.5988846546857225</v>
      </c>
      <c r="AF130" s="5">
        <v>6.1204904171364143E-2</v>
      </c>
      <c r="AG130" s="250">
        <f t="shared" si="97"/>
        <v>1.5189335827404435</v>
      </c>
      <c r="AH130" s="250">
        <v>11.555790892461731</v>
      </c>
      <c r="AI130" s="5">
        <f t="shared" si="88"/>
        <v>0.1</v>
      </c>
      <c r="AJ130" s="5">
        <f t="shared" si="88"/>
        <v>0.1</v>
      </c>
      <c r="AK130" s="5">
        <f t="shared" si="89"/>
        <v>0.01</v>
      </c>
      <c r="AL130" s="5">
        <v>0.33984788678155387</v>
      </c>
      <c r="AM130" s="5">
        <f t="shared" si="90"/>
        <v>0.05</v>
      </c>
      <c r="AN130" s="5">
        <v>0.27332242225859249</v>
      </c>
      <c r="AO130" s="5">
        <f>0.5*0.2</f>
        <v>0.1</v>
      </c>
      <c r="AP130" s="5">
        <f t="shared" si="91"/>
        <v>2.5000000000000001E-2</v>
      </c>
      <c r="AQ130" s="5">
        <v>0.83954301851673585</v>
      </c>
      <c r="AR130" s="5">
        <v>0.1190173614453965</v>
      </c>
      <c r="AS130" s="5" t="s">
        <v>395</v>
      </c>
      <c r="AT130" s="5" t="s">
        <v>395</v>
      </c>
      <c r="AU130" s="5" t="s">
        <v>395</v>
      </c>
      <c r="AV130" s="5" t="s">
        <v>395</v>
      </c>
      <c r="AW130" s="5" t="s">
        <v>395</v>
      </c>
      <c r="AX130" s="5" t="s">
        <v>395</v>
      </c>
      <c r="AY130" s="5" t="s">
        <v>395</v>
      </c>
      <c r="AZ130" s="5" t="s">
        <v>395</v>
      </c>
      <c r="BA130" s="5" t="s">
        <v>395</v>
      </c>
      <c r="BB130" s="5" t="s">
        <v>395</v>
      </c>
      <c r="BC130" s="5">
        <v>100</v>
      </c>
      <c r="BD130" s="5">
        <f t="shared" si="92"/>
        <v>0.1</v>
      </c>
      <c r="BE130" s="5">
        <f t="shared" si="93"/>
        <v>0.05</v>
      </c>
      <c r="BF130" s="5">
        <v>0.25938653430062364</v>
      </c>
      <c r="BG130" s="5">
        <f t="shared" si="94"/>
        <v>0.1</v>
      </c>
      <c r="BH130" s="5">
        <v>0.26778668703067321</v>
      </c>
      <c r="BI130" s="5">
        <v>3.7318823978617797</v>
      </c>
      <c r="BJ130" s="5">
        <v>2.2245131729667809</v>
      </c>
      <c r="BK130" s="5">
        <f t="shared" si="99"/>
        <v>2.5000000000000001E-2</v>
      </c>
      <c r="BL130" s="5">
        <v>6.0695176275932283</v>
      </c>
      <c r="BM130" s="5">
        <v>0.35022782232404226</v>
      </c>
      <c r="BN130" s="5">
        <v>140</v>
      </c>
      <c r="BO130" s="5">
        <v>8.0973819489639443</v>
      </c>
      <c r="BP130" s="5" t="s">
        <v>396</v>
      </c>
      <c r="BQ130" s="5">
        <v>0.3159801808032463</v>
      </c>
      <c r="BR130" s="5">
        <v>7.046038584244684</v>
      </c>
      <c r="BS130" s="5">
        <v>0.83127036433264601</v>
      </c>
      <c r="BT130" s="5" t="s">
        <v>397</v>
      </c>
      <c r="BU130" s="5" t="s">
        <v>397</v>
      </c>
      <c r="BV130" s="5">
        <f t="shared" si="98"/>
        <v>9.5000000000000001E-2</v>
      </c>
      <c r="BW130" s="5">
        <f t="shared" si="100"/>
        <v>9.5000000000000001E-2</v>
      </c>
      <c r="BX130" s="5">
        <v>0.2017525358081031</v>
      </c>
      <c r="BY130" s="5">
        <v>0.1222872942984459</v>
      </c>
      <c r="BZ130" s="5">
        <v>3.9680578858432898</v>
      </c>
      <c r="CA130" s="5">
        <f t="shared" si="95"/>
        <v>9.5000000000000001E-2</v>
      </c>
      <c r="CB130" s="5">
        <f t="shared" si="101"/>
        <v>9.5000000000000001E-2</v>
      </c>
      <c r="CC130" s="5">
        <f>0.5*0.19</f>
        <v>9.5000000000000001E-2</v>
      </c>
      <c r="CD130" s="5">
        <v>0.19677088210064811</v>
      </c>
      <c r="CE130" s="5">
        <v>1.0291177338192528</v>
      </c>
      <c r="CF130" s="5">
        <f t="shared" si="96"/>
        <v>9.5000000000000001E-2</v>
      </c>
      <c r="CG130" s="5">
        <f t="shared" si="96"/>
        <v>9.5000000000000001E-2</v>
      </c>
      <c r="CH130" s="5">
        <f t="shared" si="96"/>
        <v>9.5000000000000001E-2</v>
      </c>
      <c r="CI130" s="5" t="s">
        <v>395</v>
      </c>
      <c r="CJ130" s="5" t="s">
        <v>395</v>
      </c>
      <c r="CK130" s="5" t="s">
        <v>395</v>
      </c>
      <c r="CL130" s="5" t="s">
        <v>395</v>
      </c>
      <c r="CM130" s="5" t="s">
        <v>395</v>
      </c>
      <c r="CN130" s="5" t="s">
        <v>395</v>
      </c>
      <c r="CO130" s="5" t="s">
        <v>395</v>
      </c>
      <c r="CP130" s="5" t="s">
        <v>395</v>
      </c>
      <c r="CQ130" s="5" t="s">
        <v>395</v>
      </c>
      <c r="CR130" s="5" t="s">
        <v>395</v>
      </c>
      <c r="CS130" s="5" t="s">
        <v>395</v>
      </c>
      <c r="CT130" s="5" t="s">
        <v>395</v>
      </c>
      <c r="CU130" s="5" t="s">
        <v>395</v>
      </c>
      <c r="CV130" s="5" t="s">
        <v>395</v>
      </c>
      <c r="CW130" s="5" t="s">
        <v>395</v>
      </c>
      <c r="CX130" s="5" t="s">
        <v>395</v>
      </c>
      <c r="CY130" s="252" t="s">
        <v>395</v>
      </c>
    </row>
    <row r="131" spans="1:103" x14ac:dyDescent="0.3">
      <c r="A131" s="26" t="s">
        <v>23</v>
      </c>
      <c r="B131" s="14" t="s">
        <v>23</v>
      </c>
      <c r="C131" s="14" t="s">
        <v>19</v>
      </c>
      <c r="G131" s="4">
        <v>43333</v>
      </c>
      <c r="H131" s="16">
        <v>2018</v>
      </c>
      <c r="I131" s="121" t="s">
        <v>33</v>
      </c>
      <c r="J131" s="121">
        <v>11</v>
      </c>
      <c r="K131" s="251">
        <v>0.17288153625199784</v>
      </c>
      <c r="L131" s="5">
        <v>5.4299103504482602</v>
      </c>
      <c r="M131" s="5">
        <v>0.33318658673660551</v>
      </c>
      <c r="N131" s="5">
        <v>1.3073576245784937</v>
      </c>
      <c r="O131" s="5">
        <v>6.2243911577369797</v>
      </c>
      <c r="P131" s="5">
        <v>5.7780723117272377</v>
      </c>
      <c r="Q131" s="5">
        <v>12.467623641813415</v>
      </c>
      <c r="R131" s="5">
        <v>11.260771824653428</v>
      </c>
      <c r="S131" s="5">
        <v>4.3252294866991381</v>
      </c>
      <c r="T131" s="5">
        <v>41.696632633945292</v>
      </c>
      <c r="U131" s="5">
        <f t="shared" ref="U131:U194" si="102">SUM(M131,N131,O131,Q131,R131,S131)*(5/K131)</f>
        <v>1038.8200238417012</v>
      </c>
      <c r="V131" s="5">
        <f>0.5*0.012</f>
        <v>6.0000000000000001E-3</v>
      </c>
      <c r="W131" s="5">
        <v>0.10699359252420752</v>
      </c>
      <c r="X131" s="5">
        <v>3.4581757635072326E-2</v>
      </c>
      <c r="Y131" s="5">
        <v>3.022020507474062E-2</v>
      </c>
      <c r="Z131" s="5">
        <f>0.5*0.012</f>
        <v>6.0000000000000001E-3</v>
      </c>
      <c r="AA131" s="5">
        <f>0.5*0.019</f>
        <v>9.4999999999999998E-3</v>
      </c>
      <c r="AB131" s="5">
        <v>3.5772712633653801E-2</v>
      </c>
      <c r="AC131" s="5">
        <f t="shared" si="86"/>
        <v>0.05</v>
      </c>
      <c r="AD131" s="5">
        <v>0.20756826786767429</v>
      </c>
      <c r="AE131" s="5">
        <f t="shared" si="87"/>
        <v>0.22306826786767428</v>
      </c>
      <c r="AF131" s="5">
        <v>3.253606219557887E-2</v>
      </c>
      <c r="AG131" s="250">
        <f t="shared" si="97"/>
        <v>0.9409929741760632</v>
      </c>
      <c r="AH131" s="250">
        <v>5.4508381641863419</v>
      </c>
      <c r="AI131" s="5">
        <f t="shared" si="88"/>
        <v>0.1</v>
      </c>
      <c r="AJ131" s="5">
        <f t="shared" si="88"/>
        <v>0.1</v>
      </c>
      <c r="AK131" s="5">
        <f t="shared" si="89"/>
        <v>0.01</v>
      </c>
      <c r="AL131" s="5">
        <v>0.35416262371434115</v>
      </c>
      <c r="AM131" s="5">
        <f t="shared" si="90"/>
        <v>0.05</v>
      </c>
      <c r="AN131" s="5">
        <f>0.5*0.1</f>
        <v>0.05</v>
      </c>
      <c r="AO131" s="5">
        <f>0.5*0.2</f>
        <v>0.1</v>
      </c>
      <c r="AP131" s="5">
        <f t="shared" si="91"/>
        <v>2.5000000000000001E-2</v>
      </c>
      <c r="AQ131" s="5">
        <v>0.18455275109077379</v>
      </c>
      <c r="AR131" s="5">
        <v>0.10093718469948267</v>
      </c>
      <c r="AS131" s="5" t="s">
        <v>395</v>
      </c>
      <c r="AT131" s="5" t="s">
        <v>395</v>
      </c>
      <c r="AU131" s="5" t="s">
        <v>395</v>
      </c>
      <c r="AV131" s="5" t="s">
        <v>395</v>
      </c>
      <c r="AW131" s="5" t="s">
        <v>395</v>
      </c>
      <c r="AX131" s="5" t="s">
        <v>395</v>
      </c>
      <c r="AY131" s="5" t="s">
        <v>395</v>
      </c>
      <c r="AZ131" s="5" t="s">
        <v>395</v>
      </c>
      <c r="BA131" s="5" t="s">
        <v>395</v>
      </c>
      <c r="BB131" s="5" t="s">
        <v>395</v>
      </c>
      <c r="BC131" s="5">
        <v>280</v>
      </c>
      <c r="BD131" s="5">
        <f t="shared" si="92"/>
        <v>0.1</v>
      </c>
      <c r="BE131" s="5">
        <f t="shared" si="93"/>
        <v>0.05</v>
      </c>
      <c r="BF131" s="5">
        <v>0.26803075174249896</v>
      </c>
      <c r="BG131" s="5">
        <v>0.23781746387866823</v>
      </c>
      <c r="BH131" s="5">
        <v>0.31649166891022762</v>
      </c>
      <c r="BI131" s="5">
        <v>12.659876155433903</v>
      </c>
      <c r="BJ131" s="5">
        <v>3.6821322803553795</v>
      </c>
      <c r="BK131" s="5">
        <f t="shared" si="99"/>
        <v>2.5000000000000001E-2</v>
      </c>
      <c r="BL131" s="5">
        <v>10.085285231385923</v>
      </c>
      <c r="BM131" s="5">
        <v>0.18632624368063655</v>
      </c>
      <c r="BN131" s="5">
        <v>270</v>
      </c>
      <c r="BO131" s="5">
        <v>9.0550999525257172</v>
      </c>
      <c r="BP131" s="5" t="s">
        <v>396</v>
      </c>
      <c r="BQ131" s="5">
        <v>1.8053944889681586</v>
      </c>
      <c r="BR131" s="5">
        <v>9.6033623660369329</v>
      </c>
      <c r="BS131" s="5">
        <f>0.5*0.2</f>
        <v>0.1</v>
      </c>
      <c r="BT131" s="5">
        <v>2.8672096715040705</v>
      </c>
      <c r="BU131" s="5">
        <v>18.572311475009375</v>
      </c>
      <c r="BV131" s="5">
        <f t="shared" si="98"/>
        <v>9.5000000000000001E-2</v>
      </c>
      <c r="BW131" s="5">
        <f t="shared" si="100"/>
        <v>9.5000000000000001E-2</v>
      </c>
      <c r="BX131" s="5">
        <f>0.5*0.19</f>
        <v>9.5000000000000001E-2</v>
      </c>
      <c r="BY131" s="5">
        <f>0.5*0.06</f>
        <v>0.03</v>
      </c>
      <c r="BZ131" s="5">
        <f>0.5*0.19</f>
        <v>9.5000000000000001E-2</v>
      </c>
      <c r="CA131" s="5">
        <f t="shared" si="95"/>
        <v>9.5000000000000001E-2</v>
      </c>
      <c r="CB131" s="5">
        <f t="shared" si="101"/>
        <v>9.5000000000000001E-2</v>
      </c>
      <c r="CC131" s="5">
        <f>0.5*0.19</f>
        <v>9.5000000000000001E-2</v>
      </c>
      <c r="CD131" s="5">
        <f t="shared" ref="CD131:CD136" si="103">0.5*0.19</f>
        <v>9.5000000000000001E-2</v>
      </c>
      <c r="CE131" s="5">
        <v>0.6419081560484009</v>
      </c>
      <c r="CF131" s="5">
        <f t="shared" si="96"/>
        <v>9.5000000000000001E-2</v>
      </c>
      <c r="CG131" s="5">
        <f t="shared" si="96"/>
        <v>9.5000000000000001E-2</v>
      </c>
      <c r="CH131" s="5">
        <f t="shared" si="96"/>
        <v>9.5000000000000001E-2</v>
      </c>
      <c r="CI131" s="5" t="s">
        <v>395</v>
      </c>
      <c r="CJ131" s="5" t="s">
        <v>395</v>
      </c>
      <c r="CK131" s="5" t="s">
        <v>395</v>
      </c>
      <c r="CL131" s="5" t="s">
        <v>395</v>
      </c>
      <c r="CM131" s="5" t="s">
        <v>395</v>
      </c>
      <c r="CN131" s="5" t="s">
        <v>395</v>
      </c>
      <c r="CO131" s="5" t="s">
        <v>395</v>
      </c>
      <c r="CP131" s="5" t="s">
        <v>395</v>
      </c>
      <c r="CQ131" s="5" t="s">
        <v>395</v>
      </c>
      <c r="CR131" s="5" t="s">
        <v>395</v>
      </c>
      <c r="CS131" s="5" t="s">
        <v>395</v>
      </c>
      <c r="CT131" s="5" t="s">
        <v>395</v>
      </c>
      <c r="CU131" s="5" t="s">
        <v>395</v>
      </c>
      <c r="CV131" s="5" t="s">
        <v>395</v>
      </c>
      <c r="CW131" s="5" t="s">
        <v>395</v>
      </c>
      <c r="CX131" s="5" t="s">
        <v>395</v>
      </c>
      <c r="CY131" s="252" t="s">
        <v>395</v>
      </c>
    </row>
    <row r="132" spans="1:103" x14ac:dyDescent="0.3">
      <c r="A132" s="26" t="s">
        <v>6</v>
      </c>
      <c r="B132" s="14" t="s">
        <v>6</v>
      </c>
      <c r="C132" s="14" t="s">
        <v>19</v>
      </c>
      <c r="G132" s="4">
        <v>43335</v>
      </c>
      <c r="H132" s="16">
        <v>2018</v>
      </c>
      <c r="I132" s="121" t="s">
        <v>33</v>
      </c>
      <c r="J132" s="121">
        <v>10</v>
      </c>
      <c r="K132" s="251">
        <v>0.18550690497922698</v>
      </c>
      <c r="L132" s="5">
        <v>6.5783812210163957</v>
      </c>
      <c r="M132" s="5">
        <v>3.1422061894816784E-2</v>
      </c>
      <c r="N132" s="5">
        <v>0.17346271743346695</v>
      </c>
      <c r="O132" s="5">
        <v>0.99568078831520479</v>
      </c>
      <c r="P132" s="5">
        <v>1.3333562252254516</v>
      </c>
      <c r="Q132" s="5">
        <v>3.3465728180575405</v>
      </c>
      <c r="R132" s="5">
        <v>2.5419850931761681</v>
      </c>
      <c r="S132" s="5">
        <v>1.1359274844885408</v>
      </c>
      <c r="T132" s="5">
        <v>9.5269851266963723</v>
      </c>
      <c r="U132" s="5">
        <f t="shared" si="102"/>
        <v>221.6912347356228</v>
      </c>
      <c r="V132" s="5">
        <f>0.5*0.012</f>
        <v>6.0000000000000001E-3</v>
      </c>
      <c r="W132" s="5">
        <v>7.8841681054816329E-2</v>
      </c>
      <c r="X132" s="5">
        <v>2.7618599586597844E-2</v>
      </c>
      <c r="Y132" s="5">
        <v>5.6156578057047317E-2</v>
      </c>
      <c r="Z132" s="5">
        <v>1.4805772395656376E-2</v>
      </c>
      <c r="AA132" s="5">
        <f>0.5*0.019</f>
        <v>9.4999999999999998E-3</v>
      </c>
      <c r="AB132" s="5">
        <v>1.4280003446251787E-2</v>
      </c>
      <c r="AC132" s="5">
        <f t="shared" si="86"/>
        <v>0.05</v>
      </c>
      <c r="AD132" s="5">
        <v>0.18183211960993209</v>
      </c>
      <c r="AE132" s="5">
        <f t="shared" si="87"/>
        <v>0.1923968621447133</v>
      </c>
      <c r="AF132" s="5">
        <v>2.6235792896546425E-2</v>
      </c>
      <c r="AG132" s="250">
        <f t="shared" si="97"/>
        <v>0.70713790679339683</v>
      </c>
      <c r="AH132" s="250">
        <v>13.51472424175663</v>
      </c>
      <c r="AI132" s="5">
        <f t="shared" si="88"/>
        <v>0.1</v>
      </c>
      <c r="AJ132" s="5">
        <f t="shared" si="88"/>
        <v>0.1</v>
      </c>
      <c r="AK132" s="5">
        <f t="shared" si="89"/>
        <v>0.01</v>
      </c>
      <c r="AL132" s="5">
        <f>0.5*0.1</f>
        <v>0.05</v>
      </c>
      <c r="AM132" s="5">
        <f t="shared" si="90"/>
        <v>0.05</v>
      </c>
      <c r="AN132" s="5">
        <v>1.628038481310127</v>
      </c>
      <c r="AO132" s="5">
        <f>0.5*0.2</f>
        <v>0.1</v>
      </c>
      <c r="AP132" s="5">
        <f t="shared" si="91"/>
        <v>2.5000000000000001E-2</v>
      </c>
      <c r="AQ132" s="5">
        <f>0.5*0.1</f>
        <v>0.05</v>
      </c>
      <c r="AR132" s="5">
        <v>9.5926660302073405E-2</v>
      </c>
      <c r="AS132" s="5" t="s">
        <v>395</v>
      </c>
      <c r="AT132" s="5" t="s">
        <v>395</v>
      </c>
      <c r="AU132" s="5" t="s">
        <v>395</v>
      </c>
      <c r="AV132" s="5" t="s">
        <v>395</v>
      </c>
      <c r="AW132" s="5" t="s">
        <v>395</v>
      </c>
      <c r="AX132" s="5" t="s">
        <v>395</v>
      </c>
      <c r="AY132" s="5" t="s">
        <v>395</v>
      </c>
      <c r="AZ132" s="5" t="s">
        <v>395</v>
      </c>
      <c r="BA132" s="5" t="s">
        <v>395</v>
      </c>
      <c r="BB132" s="5" t="s">
        <v>395</v>
      </c>
      <c r="BC132" s="5">
        <v>160</v>
      </c>
      <c r="BD132" s="5">
        <f t="shared" si="92"/>
        <v>0.1</v>
      </c>
      <c r="BE132" s="5">
        <f t="shared" si="93"/>
        <v>0.05</v>
      </c>
      <c r="BF132" s="5">
        <f>0.5*0.02</f>
        <v>0.01</v>
      </c>
      <c r="BG132" s="5">
        <f>0.5*0.2</f>
        <v>0.1</v>
      </c>
      <c r="BH132" s="5">
        <v>1.0031073446327683</v>
      </c>
      <c r="BI132" s="5">
        <v>15.938050847457626</v>
      </c>
      <c r="BJ132" s="5">
        <v>3.0025423728813561</v>
      </c>
      <c r="BK132" s="5">
        <f t="shared" si="99"/>
        <v>2.5000000000000001E-2</v>
      </c>
      <c r="BL132" s="5">
        <v>6.2864689265536731</v>
      </c>
      <c r="BM132" s="5">
        <v>0.32256214689265539</v>
      </c>
      <c r="BN132" s="5">
        <v>72</v>
      </c>
      <c r="BO132" s="5">
        <v>2.5270341648163388</v>
      </c>
      <c r="BP132" s="5" t="s">
        <v>396</v>
      </c>
      <c r="BQ132" s="5">
        <f>0.5*0.2</f>
        <v>0.1</v>
      </c>
      <c r="BR132" s="5">
        <f>0.5*0.78</f>
        <v>0.39</v>
      </c>
      <c r="BS132" s="5">
        <f>0.5*0.2</f>
        <v>0.1</v>
      </c>
      <c r="BT132" s="5" t="s">
        <v>397</v>
      </c>
      <c r="BU132" s="5">
        <v>5.6585851769697353</v>
      </c>
      <c r="BV132" s="5">
        <f t="shared" si="98"/>
        <v>9.5000000000000001E-2</v>
      </c>
      <c r="BW132" s="5">
        <f t="shared" si="100"/>
        <v>9.5000000000000001E-2</v>
      </c>
      <c r="BX132" s="5">
        <f>0.5*0.19</f>
        <v>9.5000000000000001E-2</v>
      </c>
      <c r="BY132" s="5">
        <v>0.45603913607957569</v>
      </c>
      <c r="BZ132" s="5">
        <v>1.92983723273029</v>
      </c>
      <c r="CA132" s="5">
        <f t="shared" si="95"/>
        <v>9.5000000000000001E-2</v>
      </c>
      <c r="CB132" s="5">
        <v>0.44137363698955462</v>
      </c>
      <c r="CC132" s="5">
        <v>3.4567019132982248</v>
      </c>
      <c r="CD132" s="5">
        <f t="shared" si="103"/>
        <v>9.5000000000000001E-2</v>
      </c>
      <c r="CE132" s="5">
        <v>0.96007449016492241</v>
      </c>
      <c r="CF132" s="5">
        <f t="shared" si="96"/>
        <v>9.5000000000000001E-2</v>
      </c>
      <c r="CG132" s="5">
        <f t="shared" si="96"/>
        <v>9.5000000000000001E-2</v>
      </c>
      <c r="CH132" s="5">
        <f t="shared" si="96"/>
        <v>9.5000000000000001E-2</v>
      </c>
      <c r="CI132" s="5" t="s">
        <v>395</v>
      </c>
      <c r="CJ132" s="5" t="s">
        <v>395</v>
      </c>
      <c r="CK132" s="5" t="s">
        <v>395</v>
      </c>
      <c r="CL132" s="5" t="s">
        <v>395</v>
      </c>
      <c r="CM132" s="5" t="s">
        <v>395</v>
      </c>
      <c r="CN132" s="5" t="s">
        <v>395</v>
      </c>
      <c r="CO132" s="5" t="s">
        <v>395</v>
      </c>
      <c r="CP132" s="5" t="s">
        <v>395</v>
      </c>
      <c r="CQ132" s="5" t="s">
        <v>395</v>
      </c>
      <c r="CR132" s="5" t="s">
        <v>395</v>
      </c>
      <c r="CS132" s="5" t="s">
        <v>395</v>
      </c>
      <c r="CT132" s="5" t="s">
        <v>395</v>
      </c>
      <c r="CU132" s="5" t="s">
        <v>395</v>
      </c>
      <c r="CV132" s="5" t="s">
        <v>395</v>
      </c>
      <c r="CW132" s="5" t="s">
        <v>395</v>
      </c>
      <c r="CX132" s="5" t="s">
        <v>395</v>
      </c>
      <c r="CY132" s="252" t="s">
        <v>395</v>
      </c>
    </row>
    <row r="133" spans="1:103" x14ac:dyDescent="0.3">
      <c r="A133" s="26" t="s">
        <v>81</v>
      </c>
      <c r="B133" s="14" t="s">
        <v>81</v>
      </c>
      <c r="C133" s="14" t="s">
        <v>19</v>
      </c>
      <c r="G133" s="4">
        <v>43328</v>
      </c>
      <c r="H133" s="16">
        <v>2018</v>
      </c>
      <c r="I133" s="121" t="s">
        <v>33</v>
      </c>
      <c r="J133" s="121">
        <v>13</v>
      </c>
      <c r="K133" s="251">
        <v>0.19387245542398815</v>
      </c>
      <c r="L133" s="5">
        <v>4.7855408686269341</v>
      </c>
      <c r="M133" s="5">
        <v>5.921173235563703E-2</v>
      </c>
      <c r="N133" s="5">
        <v>0.13955087076076991</v>
      </c>
      <c r="O133" s="5">
        <v>0.43413789591608104</v>
      </c>
      <c r="P133" s="5">
        <v>0.32781342295549443</v>
      </c>
      <c r="Q133" s="5">
        <v>0.95560138506976255</v>
      </c>
      <c r="R133" s="5">
        <v>0.88471331092779315</v>
      </c>
      <c r="S133" s="5">
        <v>0.36377940727161623</v>
      </c>
      <c r="T133" s="5">
        <v>3.164808025257154</v>
      </c>
      <c r="U133" s="5">
        <f t="shared" si="102"/>
        <v>73.166520641039796</v>
      </c>
      <c r="V133" s="5">
        <f>0.5*0.013</f>
        <v>6.4999999999999997E-3</v>
      </c>
      <c r="W133" s="5">
        <v>8.5188058480274123E-2</v>
      </c>
      <c r="X133" s="5">
        <v>3.1980837675395384E-2</v>
      </c>
      <c r="Y133" s="5">
        <v>0.10884898085158279</v>
      </c>
      <c r="Z133" s="5">
        <v>1.3094883985111308E-2</v>
      </c>
      <c r="AA133" s="5">
        <v>1.9983151725224652E-2</v>
      </c>
      <c r="AB133" s="5">
        <v>1.7447886515321826E-2</v>
      </c>
      <c r="AC133" s="5">
        <f t="shared" si="86"/>
        <v>0.05</v>
      </c>
      <c r="AD133" s="5">
        <v>0.27654379923291006</v>
      </c>
      <c r="AE133" s="5">
        <f t="shared" si="87"/>
        <v>0.26994891524779879</v>
      </c>
      <c r="AF133" s="5">
        <v>7.7997250229147566E-2</v>
      </c>
      <c r="AG133" s="250">
        <f t="shared" si="97"/>
        <v>2.0115609011752591</v>
      </c>
      <c r="AH133" s="250">
        <v>8.83908160222642</v>
      </c>
      <c r="AI133" s="5">
        <f t="shared" si="88"/>
        <v>0.1</v>
      </c>
      <c r="AJ133" s="5">
        <f t="shared" si="88"/>
        <v>0.1</v>
      </c>
      <c r="AK133" s="5">
        <f t="shared" si="89"/>
        <v>0.01</v>
      </c>
      <c r="AL133" s="5">
        <f>0.5*0.1</f>
        <v>0.05</v>
      </c>
      <c r="AM133" s="5">
        <f t="shared" si="90"/>
        <v>0.05</v>
      </c>
      <c r="AN133" s="5">
        <v>0.9014014511479973</v>
      </c>
      <c r="AO133" s="5">
        <v>0.98863598714508161</v>
      </c>
      <c r="AP133" s="5">
        <f t="shared" si="91"/>
        <v>2.5000000000000001E-2</v>
      </c>
      <c r="AQ133" s="5">
        <v>0.91346121989199225</v>
      </c>
      <c r="AR133" s="5">
        <v>0.44590332306265118</v>
      </c>
      <c r="AS133" s="5" t="s">
        <v>395</v>
      </c>
      <c r="AT133" s="5" t="s">
        <v>395</v>
      </c>
      <c r="AU133" s="5" t="s">
        <v>395</v>
      </c>
      <c r="AV133" s="5" t="s">
        <v>395</v>
      </c>
      <c r="AW133" s="5" t="s">
        <v>395</v>
      </c>
      <c r="AX133" s="5" t="s">
        <v>395</v>
      </c>
      <c r="AY133" s="5" t="s">
        <v>395</v>
      </c>
      <c r="AZ133" s="5" t="s">
        <v>395</v>
      </c>
      <c r="BA133" s="5" t="s">
        <v>395</v>
      </c>
      <c r="BB133" s="5" t="s">
        <v>395</v>
      </c>
      <c r="BC133" s="5">
        <v>120</v>
      </c>
      <c r="BD133" s="5">
        <f t="shared" si="92"/>
        <v>0.1</v>
      </c>
      <c r="BE133" s="5">
        <f t="shared" si="93"/>
        <v>0.05</v>
      </c>
      <c r="BF133" s="5">
        <v>0.26849296398514433</v>
      </c>
      <c r="BG133" s="5">
        <f>0.5*0.2</f>
        <v>0.1</v>
      </c>
      <c r="BH133" s="5">
        <f>0.5*0.05</f>
        <v>2.5000000000000001E-2</v>
      </c>
      <c r="BI133" s="5">
        <v>12.273229070837168</v>
      </c>
      <c r="BJ133" s="5">
        <v>12.371460697127672</v>
      </c>
      <c r="BK133" s="5">
        <f t="shared" si="99"/>
        <v>2.5000000000000001E-2</v>
      </c>
      <c r="BL133" s="5">
        <v>10.260690313128215</v>
      </c>
      <c r="BM133" s="5">
        <v>2.2024157552216432</v>
      </c>
      <c r="BN133" s="5">
        <v>27</v>
      </c>
      <c r="BO133" s="5" t="s">
        <v>398</v>
      </c>
      <c r="BP133" s="5" t="s">
        <v>396</v>
      </c>
      <c r="BQ133" s="5">
        <f>0.5*0.2</f>
        <v>0.1</v>
      </c>
      <c r="BR133" s="5">
        <v>8.7932592600819248</v>
      </c>
      <c r="BS133" s="5">
        <f>0.5*0.2</f>
        <v>0.1</v>
      </c>
      <c r="BT133" s="5">
        <v>6.6579024827043369</v>
      </c>
      <c r="BU133" s="5" t="s">
        <v>397</v>
      </c>
      <c r="BV133" s="5">
        <f t="shared" si="98"/>
        <v>9.5000000000000001E-2</v>
      </c>
      <c r="BW133" s="5">
        <f t="shared" si="100"/>
        <v>9.5000000000000001E-2</v>
      </c>
      <c r="BX133" s="5">
        <f>0.5*0.19</f>
        <v>9.5000000000000001E-2</v>
      </c>
      <c r="BY133" s="5">
        <v>0.33281175697602938</v>
      </c>
      <c r="BZ133" s="5">
        <f>0.5*0.19</f>
        <v>9.5000000000000001E-2</v>
      </c>
      <c r="CA133" s="5">
        <f t="shared" si="95"/>
        <v>9.5000000000000001E-2</v>
      </c>
      <c r="CB133" s="5">
        <v>0.30495444687965123</v>
      </c>
      <c r="CC133" s="5">
        <f>0.5*0.19</f>
        <v>9.5000000000000001E-2</v>
      </c>
      <c r="CD133" s="5">
        <f t="shared" si="103"/>
        <v>9.5000000000000001E-2</v>
      </c>
      <c r="CE133" s="5">
        <v>0.28081731247423236</v>
      </c>
      <c r="CF133" s="5">
        <v>1.4891435501085373</v>
      </c>
      <c r="CG133" s="5">
        <f t="shared" ref="CG133:CH136" si="104">0.5*0.19</f>
        <v>9.5000000000000001E-2</v>
      </c>
      <c r="CH133" s="5">
        <f t="shared" si="104"/>
        <v>9.5000000000000001E-2</v>
      </c>
      <c r="CI133" s="5" t="s">
        <v>395</v>
      </c>
      <c r="CJ133" s="5" t="s">
        <v>395</v>
      </c>
      <c r="CK133" s="5" t="s">
        <v>395</v>
      </c>
      <c r="CL133" s="5" t="s">
        <v>395</v>
      </c>
      <c r="CM133" s="5" t="s">
        <v>395</v>
      </c>
      <c r="CN133" s="5" t="s">
        <v>395</v>
      </c>
      <c r="CO133" s="5" t="s">
        <v>395</v>
      </c>
      <c r="CP133" s="5" t="s">
        <v>395</v>
      </c>
      <c r="CQ133" s="5" t="s">
        <v>395</v>
      </c>
      <c r="CR133" s="5" t="s">
        <v>395</v>
      </c>
      <c r="CS133" s="5" t="s">
        <v>395</v>
      </c>
      <c r="CT133" s="5" t="s">
        <v>395</v>
      </c>
      <c r="CU133" s="5" t="s">
        <v>395</v>
      </c>
      <c r="CV133" s="5" t="s">
        <v>395</v>
      </c>
      <c r="CW133" s="5" t="s">
        <v>395</v>
      </c>
      <c r="CX133" s="5" t="s">
        <v>395</v>
      </c>
      <c r="CY133" s="252" t="s">
        <v>395</v>
      </c>
    </row>
    <row r="134" spans="1:103" x14ac:dyDescent="0.3">
      <c r="A134" s="26" t="s">
        <v>26</v>
      </c>
      <c r="B134" s="14" t="s">
        <v>26</v>
      </c>
      <c r="C134" s="14" t="s">
        <v>19</v>
      </c>
      <c r="G134" s="4">
        <v>43328</v>
      </c>
      <c r="H134" s="16">
        <v>2018</v>
      </c>
      <c r="I134" s="121" t="s">
        <v>33</v>
      </c>
      <c r="J134" s="121">
        <v>17</v>
      </c>
      <c r="K134" s="251">
        <v>0.3479313213826441</v>
      </c>
      <c r="L134" s="5">
        <v>5.9379797359532906</v>
      </c>
      <c r="M134" s="5">
        <v>3.1578415521422792E-2</v>
      </c>
      <c r="N134" s="5">
        <v>4.77162489894907E-2</v>
      </c>
      <c r="O134" s="5">
        <v>0.2997776879547292</v>
      </c>
      <c r="P134" s="5">
        <v>0.37506063055780114</v>
      </c>
      <c r="Q134" s="5">
        <v>1.1963571139854483</v>
      </c>
      <c r="R134" s="5">
        <v>1.0582053354890864</v>
      </c>
      <c r="S134" s="5">
        <v>0.52019502829426023</v>
      </c>
      <c r="T134" s="5">
        <v>3.4495957962813257</v>
      </c>
      <c r="U134" s="5">
        <f t="shared" si="102"/>
        <v>45.322591506010944</v>
      </c>
      <c r="V134" s="5">
        <f>0.5*0.013</f>
        <v>6.4999999999999997E-3</v>
      </c>
      <c r="W134" s="5">
        <v>1.0168977750713805E-2</v>
      </c>
      <c r="X134" s="5">
        <f>0.5*0.01</f>
        <v>5.0000000000000001E-3</v>
      </c>
      <c r="Y134" s="5">
        <f>0.5*0.015</f>
        <v>7.4999999999999997E-3</v>
      </c>
      <c r="Z134" s="5">
        <f>0.5*0.013</f>
        <v>6.4999999999999997E-3</v>
      </c>
      <c r="AA134" s="5">
        <f>0.5*0.02</f>
        <v>0.01</v>
      </c>
      <c r="AB134" s="5">
        <f>0.5*0.013</f>
        <v>6.4999999999999997E-3</v>
      </c>
      <c r="AC134" s="5">
        <f t="shared" si="86"/>
        <v>0.05</v>
      </c>
      <c r="AD134" s="5">
        <v>1.0168977750713805E-2</v>
      </c>
      <c r="AE134" s="5">
        <f t="shared" si="87"/>
        <v>4.566897775071381E-2</v>
      </c>
      <c r="AF134" s="5">
        <f>0.5*0.004</f>
        <v>2E-3</v>
      </c>
      <c r="AG134" s="250" t="s">
        <v>395</v>
      </c>
      <c r="AH134" s="250">
        <v>1.1888059701492537</v>
      </c>
      <c r="AI134" s="5">
        <f t="shared" si="88"/>
        <v>0.1</v>
      </c>
      <c r="AJ134" s="5">
        <f t="shared" si="88"/>
        <v>0.1</v>
      </c>
      <c r="AK134" s="5">
        <f t="shared" si="89"/>
        <v>0.01</v>
      </c>
      <c r="AL134" s="5">
        <f>0.5*0.1</f>
        <v>0.05</v>
      </c>
      <c r="AM134" s="5">
        <f t="shared" si="90"/>
        <v>0.05</v>
      </c>
      <c r="AN134" s="5">
        <f>0.5*0.1</f>
        <v>0.05</v>
      </c>
      <c r="AO134" s="5">
        <f>0.5*0.2</f>
        <v>0.1</v>
      </c>
      <c r="AP134" s="5">
        <f t="shared" si="91"/>
        <v>2.5000000000000001E-2</v>
      </c>
      <c r="AQ134" s="5">
        <f>0.5*0.1</f>
        <v>0.05</v>
      </c>
      <c r="AR134" s="5">
        <v>7.3599502487562182E-2</v>
      </c>
      <c r="AS134" s="5" t="s">
        <v>395</v>
      </c>
      <c r="AT134" s="5" t="s">
        <v>395</v>
      </c>
      <c r="AU134" s="5" t="s">
        <v>395</v>
      </c>
      <c r="AV134" s="5" t="s">
        <v>395</v>
      </c>
      <c r="AW134" s="5" t="s">
        <v>395</v>
      </c>
      <c r="AX134" s="5" t="s">
        <v>395</v>
      </c>
      <c r="AY134" s="5" t="s">
        <v>395</v>
      </c>
      <c r="AZ134" s="5" t="s">
        <v>395</v>
      </c>
      <c r="BA134" s="5" t="s">
        <v>395</v>
      </c>
      <c r="BB134" s="5" t="s">
        <v>395</v>
      </c>
      <c r="BC134" s="5">
        <v>33.51260043827611</v>
      </c>
      <c r="BD134" s="5">
        <f t="shared" si="92"/>
        <v>0.1</v>
      </c>
      <c r="BE134" s="5">
        <f t="shared" si="93"/>
        <v>0.05</v>
      </c>
      <c r="BF134" s="5">
        <v>0.15765765765765763</v>
      </c>
      <c r="BG134" s="5">
        <f>0.5*0.2</f>
        <v>0.1</v>
      </c>
      <c r="BH134" s="5">
        <f>0.5*0.05</f>
        <v>2.5000000000000001E-2</v>
      </c>
      <c r="BI134" s="5">
        <v>2.4533418553688819</v>
      </c>
      <c r="BJ134" s="5">
        <v>0.2008765522279036</v>
      </c>
      <c r="BK134" s="5">
        <f t="shared" si="99"/>
        <v>2.5000000000000001E-2</v>
      </c>
      <c r="BL134" s="5">
        <v>1.4499939128317505</v>
      </c>
      <c r="BM134" s="5">
        <v>0.10831202824446068</v>
      </c>
      <c r="BN134" s="5">
        <v>72</v>
      </c>
      <c r="BO134" s="5" t="s">
        <v>398</v>
      </c>
      <c r="BP134" s="5" t="s">
        <v>396</v>
      </c>
      <c r="BQ134" s="5">
        <f>0.5*0.2</f>
        <v>0.1</v>
      </c>
      <c r="BR134" s="5">
        <v>13.401868859979899</v>
      </c>
      <c r="BS134" s="5">
        <f>0.5*0.2</f>
        <v>0.1</v>
      </c>
      <c r="BT134" s="5">
        <v>4.5258179261757823</v>
      </c>
      <c r="BU134" s="5" t="s">
        <v>397</v>
      </c>
      <c r="BV134" s="5">
        <f t="shared" si="98"/>
        <v>9.5000000000000001E-2</v>
      </c>
      <c r="BW134" s="5">
        <f t="shared" si="100"/>
        <v>9.5000000000000001E-2</v>
      </c>
      <c r="BX134" s="5">
        <f>0.5*0.19</f>
        <v>9.5000000000000001E-2</v>
      </c>
      <c r="BY134" s="5">
        <v>0.19043939959137526</v>
      </c>
      <c r="BZ134" s="5">
        <f>0.5*0.19</f>
        <v>9.5000000000000001E-2</v>
      </c>
      <c r="CA134" s="5">
        <f t="shared" si="95"/>
        <v>9.5000000000000001E-2</v>
      </c>
      <c r="CB134" s="5">
        <f>0.5*0.19</f>
        <v>9.5000000000000001E-2</v>
      </c>
      <c r="CC134" s="5">
        <f>0.5*0.19</f>
        <v>9.5000000000000001E-2</v>
      </c>
      <c r="CD134" s="5">
        <f t="shared" si="103"/>
        <v>9.5000000000000001E-2</v>
      </c>
      <c r="CE134" s="5">
        <v>0.29722991058421988</v>
      </c>
      <c r="CF134" s="5">
        <f>0.5*0.19</f>
        <v>9.5000000000000001E-2</v>
      </c>
      <c r="CG134" s="5">
        <f t="shared" si="104"/>
        <v>9.5000000000000001E-2</v>
      </c>
      <c r="CH134" s="5">
        <f t="shared" si="104"/>
        <v>9.5000000000000001E-2</v>
      </c>
      <c r="CI134" s="5" t="s">
        <v>395</v>
      </c>
      <c r="CJ134" s="5" t="s">
        <v>395</v>
      </c>
      <c r="CK134" s="5" t="s">
        <v>395</v>
      </c>
      <c r="CL134" s="5" t="s">
        <v>395</v>
      </c>
      <c r="CM134" s="5" t="s">
        <v>395</v>
      </c>
      <c r="CN134" s="5" t="s">
        <v>395</v>
      </c>
      <c r="CO134" s="5" t="s">
        <v>395</v>
      </c>
      <c r="CP134" s="5" t="s">
        <v>395</v>
      </c>
      <c r="CQ134" s="5" t="s">
        <v>395</v>
      </c>
      <c r="CR134" s="5" t="s">
        <v>395</v>
      </c>
      <c r="CS134" s="5" t="s">
        <v>395</v>
      </c>
      <c r="CT134" s="5" t="s">
        <v>395</v>
      </c>
      <c r="CU134" s="5" t="s">
        <v>395</v>
      </c>
      <c r="CV134" s="5" t="s">
        <v>395</v>
      </c>
      <c r="CW134" s="5" t="s">
        <v>395</v>
      </c>
      <c r="CX134" s="5" t="s">
        <v>395</v>
      </c>
      <c r="CY134" s="252" t="s">
        <v>395</v>
      </c>
    </row>
    <row r="135" spans="1:103" x14ac:dyDescent="0.3">
      <c r="A135" s="26" t="s">
        <v>7</v>
      </c>
      <c r="B135" s="14" t="s">
        <v>7</v>
      </c>
      <c r="C135" s="14" t="s">
        <v>19</v>
      </c>
      <c r="G135" s="4">
        <v>43334</v>
      </c>
      <c r="H135" s="16">
        <v>2018</v>
      </c>
      <c r="I135" s="121" t="s">
        <v>33</v>
      </c>
      <c r="J135" s="121">
        <v>12</v>
      </c>
      <c r="K135" s="251">
        <v>0.19475701743537557</v>
      </c>
      <c r="L135" s="5">
        <v>3.1048805815160994</v>
      </c>
      <c r="M135" s="5">
        <v>3.3443509615384615E-2</v>
      </c>
      <c r="N135" s="5">
        <v>0.1867938701923077</v>
      </c>
      <c r="O135" s="5">
        <v>1.2864583333333333</v>
      </c>
      <c r="P135" s="5">
        <v>1.289042467948718</v>
      </c>
      <c r="Q135" s="5">
        <v>3.9413812099358978</v>
      </c>
      <c r="R135" s="5">
        <v>3.5015024038461533</v>
      </c>
      <c r="S135" s="5">
        <v>1.3199368990384617</v>
      </c>
      <c r="T135" s="5">
        <v>11.525115184294872</v>
      </c>
      <c r="U135" s="5">
        <f t="shared" si="102"/>
        <v>263.64945307732438</v>
      </c>
      <c r="V135" s="5">
        <f>0.5*0.013</f>
        <v>6.4999999999999997E-3</v>
      </c>
      <c r="W135" s="5">
        <v>0.10905329303773273</v>
      </c>
      <c r="X135" s="5">
        <v>4.162210532268891E-2</v>
      </c>
      <c r="Y135" s="5">
        <v>7.7374588843606984E-2</v>
      </c>
      <c r="Z135" s="5">
        <f>0.5*0.013</f>
        <v>6.4999999999999997E-3</v>
      </c>
      <c r="AA135" s="5">
        <v>2.3607455072157862E-2</v>
      </c>
      <c r="AB135" s="5">
        <v>1.4672604671521389E-2</v>
      </c>
      <c r="AC135" s="5">
        <f t="shared" si="86"/>
        <v>0.05</v>
      </c>
      <c r="AD135" s="5">
        <v>0.26633004694770784</v>
      </c>
      <c r="AE135" s="5">
        <f t="shared" si="87"/>
        <v>0.2728300469477079</v>
      </c>
      <c r="AF135" s="5">
        <v>0.11</v>
      </c>
      <c r="AG135" s="250">
        <f>(AF135/K135)*5</f>
        <v>2.8240317460319568</v>
      </c>
      <c r="AH135" s="250">
        <v>2.6906177306797621</v>
      </c>
      <c r="AI135" s="5">
        <f t="shared" si="88"/>
        <v>0.1</v>
      </c>
      <c r="AJ135" s="5">
        <f t="shared" si="88"/>
        <v>0.1</v>
      </c>
      <c r="AK135" s="5">
        <f t="shared" si="89"/>
        <v>0.01</v>
      </c>
      <c r="AL135" s="5">
        <v>0.22055656069613164</v>
      </c>
      <c r="AM135" s="5">
        <f t="shared" si="90"/>
        <v>0.05</v>
      </c>
      <c r="AN135" s="5">
        <v>0.34625656931162224</v>
      </c>
      <c r="AO135" s="5">
        <v>0.31762442204416869</v>
      </c>
      <c r="AP135" s="5">
        <f t="shared" si="91"/>
        <v>2.5000000000000001E-2</v>
      </c>
      <c r="AQ135" s="5">
        <v>0.29726314580282009</v>
      </c>
      <c r="AR135" s="5">
        <v>0.13838488268573562</v>
      </c>
      <c r="AS135" s="5" t="s">
        <v>395</v>
      </c>
      <c r="AT135" s="5" t="s">
        <v>395</v>
      </c>
      <c r="AU135" s="5" t="s">
        <v>395</v>
      </c>
      <c r="AV135" s="5" t="s">
        <v>395</v>
      </c>
      <c r="AW135" s="5" t="s">
        <v>395</v>
      </c>
      <c r="AX135" s="5" t="s">
        <v>395</v>
      </c>
      <c r="AY135" s="5" t="s">
        <v>395</v>
      </c>
      <c r="AZ135" s="5" t="s">
        <v>395</v>
      </c>
      <c r="BA135" s="5" t="s">
        <v>395</v>
      </c>
      <c r="BB135" s="5" t="s">
        <v>395</v>
      </c>
      <c r="BC135" s="5">
        <v>110</v>
      </c>
      <c r="BD135" s="5">
        <f t="shared" si="92"/>
        <v>0.1</v>
      </c>
      <c r="BE135" s="5">
        <f t="shared" si="93"/>
        <v>0.05</v>
      </c>
      <c r="BF135" s="5">
        <v>0.11992872807017541</v>
      </c>
      <c r="BG135" s="5">
        <f>0.5*0.2</f>
        <v>0.1</v>
      </c>
      <c r="BH135" s="5">
        <v>0.1209566885964912</v>
      </c>
      <c r="BI135" s="5">
        <v>15.220908717105264</v>
      </c>
      <c r="BJ135" s="5">
        <v>7.2399259868421053</v>
      </c>
      <c r="BK135" s="5">
        <f t="shared" si="99"/>
        <v>2.5000000000000001E-2</v>
      </c>
      <c r="BL135" s="5">
        <v>7.1628632127192988</v>
      </c>
      <c r="BM135" s="5">
        <v>0.30800095942982458</v>
      </c>
      <c r="BN135" s="5">
        <v>110</v>
      </c>
      <c r="BO135" s="5">
        <v>8.6041031748993202</v>
      </c>
      <c r="BP135" s="5" t="s">
        <v>396</v>
      </c>
      <c r="BQ135" s="5">
        <f>0.5*0.2</f>
        <v>0.1</v>
      </c>
      <c r="BR135" s="5">
        <v>10.134069264602326</v>
      </c>
      <c r="BS135" s="5">
        <f>0.5*0.2</f>
        <v>0.1</v>
      </c>
      <c r="BT135" s="5">
        <v>4.9002545579458987</v>
      </c>
      <c r="BU135" s="5" t="s">
        <v>397</v>
      </c>
      <c r="BV135" s="5">
        <f t="shared" si="98"/>
        <v>9.5000000000000001E-2</v>
      </c>
      <c r="BW135" s="5">
        <f t="shared" si="100"/>
        <v>9.5000000000000001E-2</v>
      </c>
      <c r="BX135" s="5">
        <v>0.49815478449815925</v>
      </c>
      <c r="BY135" s="5">
        <v>1.0733534955207105</v>
      </c>
      <c r="BZ135" s="5">
        <v>2.0290723160295001</v>
      </c>
      <c r="CA135" s="5">
        <f t="shared" si="95"/>
        <v>9.5000000000000001E-2</v>
      </c>
      <c r="CB135" s="5">
        <v>0.1882620640084588</v>
      </c>
      <c r="CC135" s="5">
        <v>9.6848002116386294</v>
      </c>
      <c r="CD135" s="5">
        <f t="shared" si="103"/>
        <v>9.5000000000000001E-2</v>
      </c>
      <c r="CE135" s="5">
        <v>1.0108297661485108</v>
      </c>
      <c r="CF135" s="5">
        <f>0.5*0.19</f>
        <v>9.5000000000000001E-2</v>
      </c>
      <c r="CG135" s="5">
        <f t="shared" si="104"/>
        <v>9.5000000000000001E-2</v>
      </c>
      <c r="CH135" s="5">
        <f t="shared" si="104"/>
        <v>9.5000000000000001E-2</v>
      </c>
      <c r="CI135" s="5" t="s">
        <v>395</v>
      </c>
      <c r="CJ135" s="5" t="s">
        <v>395</v>
      </c>
      <c r="CK135" s="5" t="s">
        <v>395</v>
      </c>
      <c r="CL135" s="5" t="s">
        <v>395</v>
      </c>
      <c r="CM135" s="5" t="s">
        <v>395</v>
      </c>
      <c r="CN135" s="5" t="s">
        <v>395</v>
      </c>
      <c r="CO135" s="5" t="s">
        <v>395</v>
      </c>
      <c r="CP135" s="5" t="s">
        <v>395</v>
      </c>
      <c r="CQ135" s="5" t="s">
        <v>395</v>
      </c>
      <c r="CR135" s="5" t="s">
        <v>395</v>
      </c>
      <c r="CS135" s="5" t="s">
        <v>395</v>
      </c>
      <c r="CT135" s="5" t="s">
        <v>395</v>
      </c>
      <c r="CU135" s="5" t="s">
        <v>395</v>
      </c>
      <c r="CV135" s="5" t="s">
        <v>395</v>
      </c>
      <c r="CW135" s="5" t="s">
        <v>395</v>
      </c>
      <c r="CX135" s="5" t="s">
        <v>395</v>
      </c>
      <c r="CY135" s="252" t="s">
        <v>395</v>
      </c>
    </row>
    <row r="136" spans="1:103" x14ac:dyDescent="0.3">
      <c r="A136" s="26" t="s">
        <v>8</v>
      </c>
      <c r="B136" s="14" t="s">
        <v>8</v>
      </c>
      <c r="C136" s="14" t="s">
        <v>19</v>
      </c>
      <c r="G136" s="4">
        <v>43334</v>
      </c>
      <c r="H136" s="16">
        <v>2018</v>
      </c>
      <c r="I136" s="121" t="s">
        <v>33</v>
      </c>
      <c r="J136" s="121">
        <v>11</v>
      </c>
      <c r="K136" s="251">
        <v>0.23712415820924732</v>
      </c>
      <c r="L136" s="5">
        <v>3.2128514056224877</v>
      </c>
      <c r="M136" s="5">
        <f>0.5*0.015</f>
        <v>7.4999999999999997E-3</v>
      </c>
      <c r="N136" s="5">
        <v>5.5980098541203747E-2</v>
      </c>
      <c r="O136" s="5">
        <v>0.55810066660226065</v>
      </c>
      <c r="P136" s="5">
        <v>0.54307796348178916</v>
      </c>
      <c r="Q136" s="5">
        <v>2.3768090039609695</v>
      </c>
      <c r="R136" s="5">
        <v>1.8690947734518404</v>
      </c>
      <c r="S136" s="5">
        <v>0.9400106269925611</v>
      </c>
      <c r="T136" s="5">
        <v>6.3430731330306243</v>
      </c>
      <c r="U136" s="5">
        <f t="shared" si="102"/>
        <v>122.45684314510211</v>
      </c>
      <c r="V136" s="5">
        <f>0.5*0.013</f>
        <v>6.4999999999999997E-3</v>
      </c>
      <c r="W136" s="5">
        <v>8.5320401868538995E-2</v>
      </c>
      <c r="X136" s="5">
        <v>2.7288006481420379E-2</v>
      </c>
      <c r="Y136" s="5">
        <v>3.5716764272918165E-2</v>
      </c>
      <c r="Z136" s="5">
        <f>0.5*0.013</f>
        <v>6.4999999999999997E-3</v>
      </c>
      <c r="AA136" s="5">
        <f>0.5*0.019</f>
        <v>9.4999999999999998E-3</v>
      </c>
      <c r="AB136" s="5">
        <f>0.5*0.013</f>
        <v>6.4999999999999997E-3</v>
      </c>
      <c r="AC136" s="5">
        <f t="shared" si="86"/>
        <v>0.05</v>
      </c>
      <c r="AD136" s="5">
        <v>0.14832517262287753</v>
      </c>
      <c r="AE136" s="5">
        <f t="shared" si="87"/>
        <v>0.17082517262287755</v>
      </c>
      <c r="AF136" s="5">
        <v>8.8947927736450581E-3</v>
      </c>
      <c r="AG136" s="250">
        <f>(AF136/K136)*5</f>
        <v>0.18755560042507263</v>
      </c>
      <c r="AH136" s="250">
        <v>1.6832380114386272</v>
      </c>
      <c r="AI136" s="5">
        <f t="shared" si="88"/>
        <v>0.1</v>
      </c>
      <c r="AJ136" s="5">
        <f t="shared" si="88"/>
        <v>0.1</v>
      </c>
      <c r="AK136" s="5">
        <f t="shared" si="89"/>
        <v>0.01</v>
      </c>
      <c r="AL136" s="5">
        <f>0.5*0.1</f>
        <v>0.05</v>
      </c>
      <c r="AM136" s="5">
        <f t="shared" si="90"/>
        <v>0.05</v>
      </c>
      <c r="AN136" s="5">
        <f>0.5*0.1</f>
        <v>0.05</v>
      </c>
      <c r="AO136" s="5">
        <f>0.5*0.2</f>
        <v>0.1</v>
      </c>
      <c r="AP136" s="5">
        <f t="shared" si="91"/>
        <v>2.5000000000000001E-2</v>
      </c>
      <c r="AQ136" s="5">
        <v>0.12673412523830471</v>
      </c>
      <c r="AR136" s="5">
        <v>9.1177592022290657E-2</v>
      </c>
      <c r="AS136" s="5" t="s">
        <v>395</v>
      </c>
      <c r="AT136" s="5" t="s">
        <v>395</v>
      </c>
      <c r="AU136" s="5" t="s">
        <v>395</v>
      </c>
      <c r="AV136" s="5" t="s">
        <v>395</v>
      </c>
      <c r="AW136" s="5" t="s">
        <v>395</v>
      </c>
      <c r="AX136" s="5" t="s">
        <v>395</v>
      </c>
      <c r="AY136" s="5" t="s">
        <v>395</v>
      </c>
      <c r="AZ136" s="5" t="s">
        <v>395</v>
      </c>
      <c r="BA136" s="5" t="s">
        <v>395</v>
      </c>
      <c r="BB136" s="5" t="s">
        <v>395</v>
      </c>
      <c r="BC136" s="5">
        <v>49.335614170621341</v>
      </c>
      <c r="BD136" s="5">
        <f t="shared" si="92"/>
        <v>0.1</v>
      </c>
      <c r="BE136" s="5">
        <f t="shared" si="93"/>
        <v>0.05</v>
      </c>
      <c r="BF136" s="5">
        <f>0.5*0.02</f>
        <v>0.01</v>
      </c>
      <c r="BG136" s="5">
        <f>0.5*0.2</f>
        <v>0.1</v>
      </c>
      <c r="BH136" s="5">
        <v>6.8057241658389417E-2</v>
      </c>
      <c r="BI136" s="5">
        <v>6.0996578744067991</v>
      </c>
      <c r="BJ136" s="5">
        <v>1.3387043372696168</v>
      </c>
      <c r="BK136" s="5">
        <f t="shared" si="99"/>
        <v>2.5000000000000001E-2</v>
      </c>
      <c r="BL136" s="5">
        <v>3.4521943861972555</v>
      </c>
      <c r="BM136" s="5">
        <v>0.16623257182798071</v>
      </c>
      <c r="BN136" s="5">
        <v>90</v>
      </c>
      <c r="BO136" s="5">
        <v>7.7097330290307324</v>
      </c>
      <c r="BP136" s="5" t="s">
        <v>396</v>
      </c>
      <c r="BQ136" s="5">
        <v>1.6761666998479086</v>
      </c>
      <c r="BR136" s="5">
        <f>0.5*0.78</f>
        <v>0.39</v>
      </c>
      <c r="BS136" s="5">
        <v>3.6632518118324708</v>
      </c>
      <c r="BT136" s="5" t="s">
        <v>397</v>
      </c>
      <c r="BU136" s="5">
        <v>2.383050507567205</v>
      </c>
      <c r="BV136" s="5">
        <f t="shared" si="98"/>
        <v>9.5000000000000001E-2</v>
      </c>
      <c r="BW136" s="5">
        <f t="shared" si="100"/>
        <v>9.5000000000000001E-2</v>
      </c>
      <c r="BX136" s="5">
        <f>0.5*0.19</f>
        <v>9.5000000000000001E-2</v>
      </c>
      <c r="BY136" s="5">
        <v>0.30393927189143943</v>
      </c>
      <c r="BZ136" s="5">
        <f>0.5*0.19</f>
        <v>9.5000000000000001E-2</v>
      </c>
      <c r="CA136" s="5">
        <f t="shared" si="95"/>
        <v>9.5000000000000001E-2</v>
      </c>
      <c r="CB136" s="5">
        <f>0.5*0.19</f>
        <v>9.5000000000000001E-2</v>
      </c>
      <c r="CC136" s="5">
        <v>14.049977164756505</v>
      </c>
      <c r="CD136" s="5">
        <f t="shared" si="103"/>
        <v>9.5000000000000001E-2</v>
      </c>
      <c r="CE136" s="5">
        <v>0.40168947421446194</v>
      </c>
      <c r="CF136" s="5">
        <f>0.5*0.19</f>
        <v>9.5000000000000001E-2</v>
      </c>
      <c r="CG136" s="5">
        <f t="shared" si="104"/>
        <v>9.5000000000000001E-2</v>
      </c>
      <c r="CH136" s="5">
        <f t="shared" si="104"/>
        <v>9.5000000000000001E-2</v>
      </c>
      <c r="CI136" s="5" t="s">
        <v>395</v>
      </c>
      <c r="CJ136" s="5" t="s">
        <v>395</v>
      </c>
      <c r="CK136" s="5" t="s">
        <v>395</v>
      </c>
      <c r="CL136" s="5" t="s">
        <v>395</v>
      </c>
      <c r="CM136" s="5" t="s">
        <v>395</v>
      </c>
      <c r="CN136" s="5" t="s">
        <v>395</v>
      </c>
      <c r="CO136" s="5" t="s">
        <v>395</v>
      </c>
      <c r="CP136" s="5" t="s">
        <v>395</v>
      </c>
      <c r="CQ136" s="5" t="s">
        <v>395</v>
      </c>
      <c r="CR136" s="5" t="s">
        <v>395</v>
      </c>
      <c r="CS136" s="5" t="s">
        <v>395</v>
      </c>
      <c r="CT136" s="5" t="s">
        <v>395</v>
      </c>
      <c r="CU136" s="5" t="s">
        <v>395</v>
      </c>
      <c r="CV136" s="5" t="s">
        <v>395</v>
      </c>
      <c r="CW136" s="5" t="s">
        <v>395</v>
      </c>
      <c r="CX136" s="5" t="s">
        <v>395</v>
      </c>
      <c r="CY136" s="252" t="s">
        <v>395</v>
      </c>
    </row>
    <row r="137" spans="1:103" x14ac:dyDescent="0.3">
      <c r="A137" s="26" t="s">
        <v>32</v>
      </c>
      <c r="B137" s="14" t="s">
        <v>32</v>
      </c>
      <c r="C137" s="14" t="s">
        <v>31</v>
      </c>
      <c r="G137" s="16" t="s">
        <v>31</v>
      </c>
      <c r="H137" s="16">
        <v>2017</v>
      </c>
      <c r="I137" s="121" t="s">
        <v>3</v>
      </c>
      <c r="J137" s="121" t="s">
        <v>395</v>
      </c>
      <c r="K137" s="251" t="s">
        <v>395</v>
      </c>
      <c r="L137" s="5" t="s">
        <v>395</v>
      </c>
      <c r="M137" s="5">
        <v>1.4999999999999999E-2</v>
      </c>
      <c r="N137" s="5">
        <v>2.3E-2</v>
      </c>
      <c r="O137" s="5">
        <v>0.01</v>
      </c>
      <c r="P137" s="5">
        <v>0.01</v>
      </c>
      <c r="Q137" s="5">
        <v>5.0000000000000001E-3</v>
      </c>
      <c r="R137" s="5">
        <v>0.01</v>
      </c>
      <c r="S137" s="5">
        <v>5.0000000000000001E-3</v>
      </c>
      <c r="T137" s="5" t="s">
        <v>395</v>
      </c>
      <c r="U137" s="5" t="s">
        <v>395</v>
      </c>
      <c r="V137" s="5">
        <v>1.2999999999999999E-2</v>
      </c>
      <c r="W137" s="5">
        <v>0.01</v>
      </c>
      <c r="X137" s="5">
        <v>1.2999999999999999E-2</v>
      </c>
      <c r="Y137" s="5">
        <v>1.4999999999999999E-2</v>
      </c>
      <c r="Z137" s="5">
        <v>0.01</v>
      </c>
      <c r="AA137" s="5">
        <v>0.02</v>
      </c>
      <c r="AB137" s="5">
        <v>1.2999999999999999E-2</v>
      </c>
      <c r="AC137" s="5">
        <v>0.1</v>
      </c>
      <c r="AD137" s="5" t="s">
        <v>395</v>
      </c>
      <c r="AE137" s="5">
        <f t="shared" si="87"/>
        <v>8.4000000000000005E-2</v>
      </c>
      <c r="AF137" s="5">
        <v>0.3</v>
      </c>
      <c r="AG137" s="250" t="s">
        <v>395</v>
      </c>
      <c r="AH137" s="250">
        <v>0.2</v>
      </c>
      <c r="AI137" s="5">
        <v>0.2</v>
      </c>
      <c r="AJ137" s="5">
        <v>0.2</v>
      </c>
      <c r="AK137" s="5">
        <v>0.02</v>
      </c>
      <c r="AL137" s="5">
        <v>0.1</v>
      </c>
      <c r="AM137" s="5">
        <v>0.1</v>
      </c>
      <c r="AN137" s="5">
        <v>0.1</v>
      </c>
      <c r="AO137" s="5">
        <v>0.02</v>
      </c>
      <c r="AP137" s="5">
        <v>0.05</v>
      </c>
      <c r="AQ137" s="5">
        <v>0.1</v>
      </c>
      <c r="AR137" s="5">
        <v>0.05</v>
      </c>
      <c r="AS137" s="5" t="s">
        <v>395</v>
      </c>
      <c r="AT137" s="5" t="s">
        <v>395</v>
      </c>
      <c r="AU137" s="5" t="s">
        <v>395</v>
      </c>
      <c r="AV137" s="5" t="s">
        <v>395</v>
      </c>
      <c r="AW137" s="5" t="s">
        <v>395</v>
      </c>
      <c r="AX137" s="5" t="s">
        <v>395</v>
      </c>
      <c r="AY137" s="5" t="s">
        <v>395</v>
      </c>
      <c r="AZ137" s="5" t="s">
        <v>395</v>
      </c>
      <c r="BA137" s="5" t="s">
        <v>395</v>
      </c>
      <c r="BB137" s="5" t="s">
        <v>395</v>
      </c>
      <c r="BC137" s="5">
        <v>0.2</v>
      </c>
      <c r="BD137" s="5">
        <v>0.2</v>
      </c>
      <c r="BE137" s="5">
        <v>0.21</v>
      </c>
      <c r="BF137" s="5">
        <v>0.02</v>
      </c>
      <c r="BG137" s="5">
        <v>0.2</v>
      </c>
      <c r="BH137" s="5">
        <v>0.05</v>
      </c>
      <c r="BI137" s="5">
        <v>0.1</v>
      </c>
      <c r="BJ137" s="5">
        <v>0.1</v>
      </c>
      <c r="BK137" s="5">
        <v>0.05</v>
      </c>
      <c r="BL137" s="5">
        <v>0.1</v>
      </c>
      <c r="BM137" s="5">
        <v>0.05</v>
      </c>
      <c r="BN137" s="5">
        <v>0.03</v>
      </c>
      <c r="BO137" s="5">
        <v>0.04</v>
      </c>
      <c r="BP137" s="5">
        <v>0.4</v>
      </c>
      <c r="BQ137" s="5">
        <v>0.1</v>
      </c>
      <c r="BR137" s="5">
        <v>2.2999999999999998</v>
      </c>
      <c r="BS137" s="5">
        <v>0.2</v>
      </c>
      <c r="BT137" s="5">
        <v>1.7</v>
      </c>
      <c r="BU137" s="5">
        <v>2.5</v>
      </c>
      <c r="BV137" s="5">
        <v>0.2</v>
      </c>
      <c r="BW137" s="5">
        <v>0.2</v>
      </c>
      <c r="BX137" s="5">
        <v>0.2</v>
      </c>
      <c r="BY137" s="5">
        <v>0.2</v>
      </c>
      <c r="BZ137" s="5">
        <v>0.2</v>
      </c>
      <c r="CA137" s="5">
        <v>0.2</v>
      </c>
      <c r="CB137" s="5">
        <v>0.2</v>
      </c>
      <c r="CC137" s="5">
        <v>0.2</v>
      </c>
      <c r="CD137" s="5">
        <v>0.5</v>
      </c>
      <c r="CE137" s="5">
        <v>0.2</v>
      </c>
      <c r="CF137" s="5">
        <v>0.2</v>
      </c>
      <c r="CG137" s="5">
        <v>0.2</v>
      </c>
      <c r="CH137" s="5">
        <v>0.2</v>
      </c>
      <c r="CI137" s="5" t="s">
        <v>395</v>
      </c>
      <c r="CJ137" s="5" t="s">
        <v>395</v>
      </c>
      <c r="CK137" s="5" t="s">
        <v>395</v>
      </c>
      <c r="CL137" s="5" t="s">
        <v>395</v>
      </c>
      <c r="CM137" s="5" t="s">
        <v>395</v>
      </c>
      <c r="CN137" s="5" t="s">
        <v>395</v>
      </c>
      <c r="CO137" s="5" t="s">
        <v>395</v>
      </c>
      <c r="CP137" s="5" t="s">
        <v>395</v>
      </c>
      <c r="CQ137" s="5" t="s">
        <v>395</v>
      </c>
      <c r="CR137" s="5" t="s">
        <v>395</v>
      </c>
      <c r="CS137" s="5" t="s">
        <v>395</v>
      </c>
      <c r="CT137" s="5" t="s">
        <v>395</v>
      </c>
      <c r="CU137" s="5" t="s">
        <v>395</v>
      </c>
      <c r="CV137" s="5" t="s">
        <v>395</v>
      </c>
      <c r="CW137" s="5" t="s">
        <v>395</v>
      </c>
      <c r="CX137" s="5" t="s">
        <v>395</v>
      </c>
      <c r="CY137" s="252" t="s">
        <v>395</v>
      </c>
    </row>
    <row r="138" spans="1:103" x14ac:dyDescent="0.3">
      <c r="A138" s="26" t="s">
        <v>4</v>
      </c>
      <c r="B138" s="14" t="s">
        <v>4</v>
      </c>
      <c r="C138" s="14" t="s">
        <v>20</v>
      </c>
      <c r="G138" s="22">
        <v>42972</v>
      </c>
      <c r="H138" s="16">
        <v>2017</v>
      </c>
      <c r="I138" s="121" t="s">
        <v>33</v>
      </c>
      <c r="J138" s="121">
        <v>10</v>
      </c>
      <c r="K138" s="251">
        <v>1.0017439266740096</v>
      </c>
      <c r="L138" s="5">
        <v>3.963198867657407</v>
      </c>
      <c r="M138" s="5">
        <v>0.38505105900151287</v>
      </c>
      <c r="N138" s="5">
        <v>0.86286403177004534</v>
      </c>
      <c r="O138" s="5">
        <v>1.9087651285930409</v>
      </c>
      <c r="P138" s="5">
        <v>1.4936838124054463</v>
      </c>
      <c r="Q138" s="5">
        <v>2.3789759833585475</v>
      </c>
      <c r="R138" s="5">
        <v>2.476645234493192</v>
      </c>
      <c r="S138" s="5">
        <v>0.72621974281391832</v>
      </c>
      <c r="T138" s="5">
        <v>10.232204992435705</v>
      </c>
      <c r="U138" s="5">
        <f t="shared" si="102"/>
        <v>43.616541849392085</v>
      </c>
      <c r="V138" s="5">
        <f t="shared" ref="V138:V143" si="105">0.5*0.013</f>
        <v>6.4999999999999997E-3</v>
      </c>
      <c r="W138" s="5">
        <v>0.11424786112344715</v>
      </c>
      <c r="X138" s="5">
        <v>2.8353279637652096E-2</v>
      </c>
      <c r="Y138" s="5">
        <v>0.13238763639965007</v>
      </c>
      <c r="Z138" s="5">
        <v>1.814435125415606E-2</v>
      </c>
      <c r="AA138" s="5">
        <f>0.5*0.02</f>
        <v>0.01</v>
      </c>
      <c r="AB138" s="5">
        <v>1.8173082622835412E-2</v>
      </c>
      <c r="AC138" s="5" t="s">
        <v>395</v>
      </c>
      <c r="AD138" s="5" t="s">
        <v>395</v>
      </c>
      <c r="AE138" s="5">
        <f t="shared" si="87"/>
        <v>0.30966185978358474</v>
      </c>
      <c r="AF138" s="5">
        <f t="shared" ref="AF138:AF146" si="106">0.5*0.03</f>
        <v>1.4999999999999999E-2</v>
      </c>
      <c r="AG138" s="250" t="s">
        <v>395</v>
      </c>
      <c r="AH138" s="250">
        <v>13.96996596955336</v>
      </c>
      <c r="AI138" s="5">
        <f t="shared" ref="AI138:AJ149" si="107">0.5*0.2</f>
        <v>0.1</v>
      </c>
      <c r="AJ138" s="5">
        <f t="shared" si="107"/>
        <v>0.1</v>
      </c>
      <c r="AK138" s="5">
        <f>0.5*0.02</f>
        <v>0.01</v>
      </c>
      <c r="AL138" s="5">
        <f t="shared" ref="AL138:AM149" si="108">0.5*0.1</f>
        <v>0.05</v>
      </c>
      <c r="AM138" s="5">
        <f t="shared" si="108"/>
        <v>0.05</v>
      </c>
      <c r="AN138" s="5">
        <v>0.47909368393338519</v>
      </c>
      <c r="AO138" s="5">
        <v>0.12785781089131476</v>
      </c>
      <c r="AP138" s="5">
        <f t="shared" ref="AP138:AP149" si="109">0.5*0.05</f>
        <v>2.5000000000000001E-2</v>
      </c>
      <c r="AQ138" s="5">
        <v>0.40086082097470116</v>
      </c>
      <c r="AR138" s="5">
        <v>5.9450031043940935E-2</v>
      </c>
      <c r="AS138" s="5" t="s">
        <v>395</v>
      </c>
      <c r="AT138" s="5" t="s">
        <v>395</v>
      </c>
      <c r="AU138" s="5" t="s">
        <v>395</v>
      </c>
      <c r="AV138" s="5" t="s">
        <v>395</v>
      </c>
      <c r="AW138" s="5" t="s">
        <v>395</v>
      </c>
      <c r="AX138" s="5" t="s">
        <v>395</v>
      </c>
      <c r="AY138" s="5" t="s">
        <v>395</v>
      </c>
      <c r="AZ138" s="5" t="s">
        <v>395</v>
      </c>
      <c r="BA138" s="5" t="s">
        <v>395</v>
      </c>
      <c r="BB138" s="5" t="s">
        <v>395</v>
      </c>
      <c r="BC138" s="5">
        <v>200</v>
      </c>
      <c r="BD138" s="5">
        <f t="shared" ref="BD138:BD149" si="110">0.5*0.2</f>
        <v>0.1</v>
      </c>
      <c r="BE138" s="5">
        <f>0.5*0.1</f>
        <v>0.05</v>
      </c>
      <c r="BF138" s="5">
        <v>0.42399999999999999</v>
      </c>
      <c r="BG138" s="5">
        <f t="shared" ref="BG138:BG149" si="111">0.5*0.2</f>
        <v>0.1</v>
      </c>
      <c r="BH138" s="5">
        <v>0.44139515279241309</v>
      </c>
      <c r="BI138" s="5">
        <v>7.2784931506849313</v>
      </c>
      <c r="BJ138" s="5">
        <v>2.08</v>
      </c>
      <c r="BK138" s="5">
        <f>0.5*0.05</f>
        <v>2.5000000000000001E-2</v>
      </c>
      <c r="BL138" s="5">
        <v>5.6167123287671235</v>
      </c>
      <c r="BM138" s="5">
        <v>0.21631401475237091</v>
      </c>
      <c r="BN138" s="5">
        <v>88</v>
      </c>
      <c r="BO138" s="5">
        <v>1.4098738861549749</v>
      </c>
      <c r="BP138" s="5">
        <v>1.2216774031039999</v>
      </c>
      <c r="BQ138" s="5">
        <v>0.50420471765517094</v>
      </c>
      <c r="BR138" s="5">
        <v>10.312670270675087</v>
      </c>
      <c r="BS138" s="5">
        <f t="shared" ref="BS138:BS148" si="112">0.5*0.2</f>
        <v>0.1</v>
      </c>
      <c r="BT138" s="5">
        <v>6.766200283945385</v>
      </c>
      <c r="BU138" s="5">
        <v>5.3492408569426493</v>
      </c>
      <c r="BV138" s="5">
        <f>0.5*0.2</f>
        <v>0.1</v>
      </c>
      <c r="BW138" s="5">
        <f>0.5*0.2</f>
        <v>0.1</v>
      </c>
      <c r="BX138" s="5">
        <v>1.0413250783549901</v>
      </c>
      <c r="BY138" s="5">
        <v>0.90188657518862725</v>
      </c>
      <c r="BZ138" s="5">
        <v>3.2612570967417902</v>
      </c>
      <c r="CA138" s="5">
        <f>0.5*0.2</f>
        <v>0.1</v>
      </c>
      <c r="CB138" s="5">
        <f>0.5*0.2</f>
        <v>0.1</v>
      </c>
      <c r="CC138" s="5">
        <f>0.5*0.2</f>
        <v>0.1</v>
      </c>
      <c r="CD138" s="5">
        <v>0.39737139673571137</v>
      </c>
      <c r="CE138" s="5">
        <v>3.2062937451879505</v>
      </c>
      <c r="CF138" s="5">
        <f t="shared" ref="CF138:CH149" si="113">0.5*0.2</f>
        <v>0.1</v>
      </c>
      <c r="CG138" s="5">
        <f t="shared" si="113"/>
        <v>0.1</v>
      </c>
      <c r="CH138" s="5">
        <f t="shared" si="113"/>
        <v>0.1</v>
      </c>
      <c r="CI138" s="5" t="s">
        <v>395</v>
      </c>
      <c r="CJ138" s="5" t="s">
        <v>395</v>
      </c>
      <c r="CK138" s="5" t="s">
        <v>395</v>
      </c>
      <c r="CL138" s="5" t="s">
        <v>395</v>
      </c>
      <c r="CM138" s="5" t="s">
        <v>395</v>
      </c>
      <c r="CN138" s="5" t="s">
        <v>395</v>
      </c>
      <c r="CO138" s="5" t="s">
        <v>395</v>
      </c>
      <c r="CP138" s="5" t="s">
        <v>395</v>
      </c>
      <c r="CQ138" s="5" t="s">
        <v>395</v>
      </c>
      <c r="CR138" s="5" t="s">
        <v>395</v>
      </c>
      <c r="CS138" s="5" t="s">
        <v>395</v>
      </c>
      <c r="CT138" s="5" t="s">
        <v>395</v>
      </c>
      <c r="CU138" s="5" t="s">
        <v>395</v>
      </c>
      <c r="CV138" s="5" t="s">
        <v>395</v>
      </c>
      <c r="CW138" s="5" t="s">
        <v>395</v>
      </c>
      <c r="CX138" s="5" t="s">
        <v>395</v>
      </c>
      <c r="CY138" s="252" t="s">
        <v>395</v>
      </c>
    </row>
    <row r="139" spans="1:103" x14ac:dyDescent="0.3">
      <c r="A139" s="27" t="s">
        <v>82</v>
      </c>
      <c r="B139" s="48" t="s">
        <v>82</v>
      </c>
      <c r="C139" s="14" t="s">
        <v>20</v>
      </c>
      <c r="E139" s="8"/>
      <c r="F139" s="9"/>
      <c r="G139" s="2">
        <v>42974</v>
      </c>
      <c r="H139" s="1">
        <v>2017</v>
      </c>
      <c r="I139" s="126" t="s">
        <v>33</v>
      </c>
      <c r="J139" s="126">
        <v>10</v>
      </c>
      <c r="K139" s="251">
        <v>0.84397163120565966</v>
      </c>
      <c r="L139" s="5">
        <v>5.7117117117116827</v>
      </c>
      <c r="M139" s="6">
        <v>0.40412450611930228</v>
      </c>
      <c r="N139" s="6">
        <v>0.85238026404548517</v>
      </c>
      <c r="O139" s="6">
        <v>2.8678905271273005</v>
      </c>
      <c r="P139" s="6">
        <v>2.1854004047412547</v>
      </c>
      <c r="Q139" s="6">
        <v>4.5955815746362143</v>
      </c>
      <c r="R139" s="6">
        <v>4.2550544473354526</v>
      </c>
      <c r="S139" s="6">
        <v>1.9516141466705212</v>
      </c>
      <c r="T139" s="6">
        <v>17.112045870675534</v>
      </c>
      <c r="U139" s="5">
        <f t="shared" si="102"/>
        <v>88.430966835998674</v>
      </c>
      <c r="V139" s="6">
        <f t="shared" si="105"/>
        <v>6.4999999999999997E-3</v>
      </c>
      <c r="W139" s="6">
        <v>0.15222446627406813</v>
      </c>
      <c r="X139" s="6">
        <v>6.388941447891397E-2</v>
      </c>
      <c r="Y139" s="6">
        <v>7.6815567958729944E-2</v>
      </c>
      <c r="Z139" s="6">
        <v>1.3629488301511847E-2</v>
      </c>
      <c r="AA139" s="6">
        <v>2.311500386978857E-2</v>
      </c>
      <c r="AB139" s="6">
        <v>2.290590432820331E-2</v>
      </c>
      <c r="AC139" s="6" t="s">
        <v>395</v>
      </c>
      <c r="AD139" s="6" t="s">
        <v>395</v>
      </c>
      <c r="AE139" s="5">
        <f t="shared" si="87"/>
        <v>0.34545035690970394</v>
      </c>
      <c r="AF139" s="6">
        <f t="shared" si="106"/>
        <v>1.4999999999999999E-2</v>
      </c>
      <c r="AG139" s="250" t="s">
        <v>395</v>
      </c>
      <c r="AH139" s="253">
        <v>5.0439121756487024</v>
      </c>
      <c r="AI139" s="6">
        <f t="shared" si="107"/>
        <v>0.1</v>
      </c>
      <c r="AJ139" s="6">
        <f t="shared" si="107"/>
        <v>0.1</v>
      </c>
      <c r="AK139" s="6">
        <f>0.5*0.02</f>
        <v>0.01</v>
      </c>
      <c r="AL139" s="6">
        <f t="shared" si="108"/>
        <v>0.05</v>
      </c>
      <c r="AM139" s="6">
        <f t="shared" si="108"/>
        <v>0.05</v>
      </c>
      <c r="AN139" s="6">
        <v>0.15537924151696605</v>
      </c>
      <c r="AO139" s="6">
        <v>3.3932135728542916E-2</v>
      </c>
      <c r="AP139" s="6">
        <f t="shared" si="109"/>
        <v>2.5000000000000001E-2</v>
      </c>
      <c r="AQ139" s="6">
        <v>0.22111776447105788</v>
      </c>
      <c r="AR139" s="6">
        <v>8.8223552894211577E-2</v>
      </c>
      <c r="AS139" s="5" t="s">
        <v>395</v>
      </c>
      <c r="AT139" s="5" t="s">
        <v>395</v>
      </c>
      <c r="AU139" s="5" t="s">
        <v>395</v>
      </c>
      <c r="AV139" s="5" t="s">
        <v>395</v>
      </c>
      <c r="AW139" s="5" t="s">
        <v>395</v>
      </c>
      <c r="AX139" s="5" t="s">
        <v>395</v>
      </c>
      <c r="AY139" s="5" t="s">
        <v>395</v>
      </c>
      <c r="AZ139" s="5" t="s">
        <v>395</v>
      </c>
      <c r="BA139" s="5" t="s">
        <v>395</v>
      </c>
      <c r="BB139" s="5" t="s">
        <v>395</v>
      </c>
      <c r="BC139" s="6">
        <v>92.8</v>
      </c>
      <c r="BD139" s="6">
        <f t="shared" si="110"/>
        <v>0.1</v>
      </c>
      <c r="BE139" s="6">
        <v>0.14780265725169561</v>
      </c>
      <c r="BF139" s="6">
        <v>0.59799999999999998</v>
      </c>
      <c r="BG139" s="6">
        <f t="shared" si="111"/>
        <v>0.1</v>
      </c>
      <c r="BH139" s="6">
        <v>0.58801821053609582</v>
      </c>
      <c r="BI139" s="6">
        <v>4.856722103502741</v>
      </c>
      <c r="BJ139" s="6">
        <v>1.42</v>
      </c>
      <c r="BK139" s="6">
        <f>0.5*0.05</f>
        <v>2.5000000000000001E-2</v>
      </c>
      <c r="BL139" s="6">
        <v>4.227687447737619</v>
      </c>
      <c r="BM139" s="6">
        <v>0.37840936541856357</v>
      </c>
      <c r="BN139" s="6">
        <v>170</v>
      </c>
      <c r="BO139" s="6">
        <v>3.7624004719882644</v>
      </c>
      <c r="BP139" s="6">
        <v>7.8707427292704137</v>
      </c>
      <c r="BQ139" s="6">
        <v>1.7584638960296295</v>
      </c>
      <c r="BR139" s="6">
        <v>30.164602257370525</v>
      </c>
      <c r="BS139" s="6">
        <f t="shared" si="112"/>
        <v>0.1</v>
      </c>
      <c r="BT139" s="6">
        <v>35.690011421399547</v>
      </c>
      <c r="BU139" s="6">
        <v>8.9233797213010924</v>
      </c>
      <c r="BV139" s="6">
        <v>0.63484220279747672</v>
      </c>
      <c r="BW139" s="6">
        <v>0.653732724013382</v>
      </c>
      <c r="BX139" s="6">
        <v>4.8717100444812553</v>
      </c>
      <c r="BY139" s="6">
        <v>3.8344688375677043</v>
      </c>
      <c r="BZ139" s="6">
        <v>2.1170775053431505</v>
      </c>
      <c r="CA139" s="6">
        <f t="shared" ref="CA139:CA149" si="114">0.5*0.2</f>
        <v>0.1</v>
      </c>
      <c r="CB139" s="6">
        <v>0.77533309429359543</v>
      </c>
      <c r="CC139" s="6">
        <f>0.5*0.2</f>
        <v>0.1</v>
      </c>
      <c r="CD139" s="6">
        <v>0.72246374011759229</v>
      </c>
      <c r="CE139" s="6">
        <v>5.6576202427395055</v>
      </c>
      <c r="CF139" s="6">
        <f t="shared" si="113"/>
        <v>0.1</v>
      </c>
      <c r="CG139" s="6">
        <f t="shared" si="113"/>
        <v>0.1</v>
      </c>
      <c r="CH139" s="6">
        <f t="shared" si="113"/>
        <v>0.1</v>
      </c>
      <c r="CI139" s="5" t="s">
        <v>395</v>
      </c>
      <c r="CJ139" s="5" t="s">
        <v>395</v>
      </c>
      <c r="CK139" s="5" t="s">
        <v>395</v>
      </c>
      <c r="CL139" s="5" t="s">
        <v>395</v>
      </c>
      <c r="CM139" s="5" t="s">
        <v>395</v>
      </c>
      <c r="CN139" s="5" t="s">
        <v>395</v>
      </c>
      <c r="CO139" s="5" t="s">
        <v>395</v>
      </c>
      <c r="CP139" s="5" t="s">
        <v>395</v>
      </c>
      <c r="CQ139" s="5" t="s">
        <v>395</v>
      </c>
      <c r="CR139" s="5" t="s">
        <v>395</v>
      </c>
      <c r="CS139" s="5" t="s">
        <v>395</v>
      </c>
      <c r="CT139" s="5" t="s">
        <v>395</v>
      </c>
      <c r="CU139" s="5" t="s">
        <v>395</v>
      </c>
      <c r="CV139" s="5" t="s">
        <v>395</v>
      </c>
      <c r="CW139" s="5" t="s">
        <v>395</v>
      </c>
      <c r="CX139" s="5" t="s">
        <v>395</v>
      </c>
      <c r="CY139" s="252" t="s">
        <v>395</v>
      </c>
    </row>
    <row r="140" spans="1:103" x14ac:dyDescent="0.3">
      <c r="A140" s="27" t="s">
        <v>112</v>
      </c>
      <c r="B140" s="48" t="s">
        <v>24</v>
      </c>
      <c r="C140" s="14" t="s">
        <v>20</v>
      </c>
      <c r="E140" s="8"/>
      <c r="F140" s="9"/>
      <c r="G140" s="2">
        <v>42968</v>
      </c>
      <c r="H140" s="16">
        <v>2017</v>
      </c>
      <c r="I140" s="121" t="s">
        <v>33</v>
      </c>
      <c r="J140" s="121">
        <v>10</v>
      </c>
      <c r="K140" s="251">
        <v>0.71412876290924521</v>
      </c>
      <c r="L140" s="5">
        <v>5.2290076335878037</v>
      </c>
      <c r="M140" s="6">
        <v>0.52636707098826807</v>
      </c>
      <c r="N140" s="6">
        <v>1.0365231656392921</v>
      </c>
      <c r="O140" s="6">
        <v>2.4791509246371048</v>
      </c>
      <c r="P140" s="6">
        <v>2.0918174587393121</v>
      </c>
      <c r="Q140" s="6">
        <v>3.6029081328295884</v>
      </c>
      <c r="R140" s="6">
        <v>3.4178067210180951</v>
      </c>
      <c r="S140" s="6">
        <v>1.3863094054483993</v>
      </c>
      <c r="T140" s="6">
        <v>14.54088287930006</v>
      </c>
      <c r="U140" s="5">
        <f t="shared" si="102"/>
        <v>87.162610352265233</v>
      </c>
      <c r="V140" s="6">
        <f t="shared" si="105"/>
        <v>6.4999999999999997E-3</v>
      </c>
      <c r="W140" s="6">
        <v>0.16378591113790711</v>
      </c>
      <c r="X140" s="6">
        <v>5.528589240371367E-2</v>
      </c>
      <c r="Y140" s="6">
        <v>5.5541953379057186E-2</v>
      </c>
      <c r="Z140" s="6">
        <f>0.5*0.013</f>
        <v>6.4999999999999997E-3</v>
      </c>
      <c r="AA140" s="6">
        <v>1.9693416830964955E-2</v>
      </c>
      <c r="AB140" s="6">
        <f>0.5*0.013</f>
        <v>6.4999999999999997E-3</v>
      </c>
      <c r="AC140" s="6" t="s">
        <v>395</v>
      </c>
      <c r="AD140" s="6" t="s">
        <v>395</v>
      </c>
      <c r="AE140" s="5">
        <f>SUM(V140,W140,Y140,X140,AB140,AA140)</f>
        <v>0.30730717375164296</v>
      </c>
      <c r="AF140" s="6">
        <f t="shared" si="106"/>
        <v>1.4999999999999999E-2</v>
      </c>
      <c r="AG140" s="250" t="s">
        <v>395</v>
      </c>
      <c r="AH140" s="253">
        <v>16.431795878312073</v>
      </c>
      <c r="AI140" s="6">
        <f t="shared" si="107"/>
        <v>0.1</v>
      </c>
      <c r="AJ140" s="6">
        <f t="shared" si="107"/>
        <v>0.1</v>
      </c>
      <c r="AK140" s="6">
        <v>2.19169120052339E-2</v>
      </c>
      <c r="AL140" s="6">
        <f t="shared" si="108"/>
        <v>0.05</v>
      </c>
      <c r="AM140" s="6">
        <f t="shared" si="108"/>
        <v>0.05</v>
      </c>
      <c r="AN140" s="6">
        <v>1.0350245338567226</v>
      </c>
      <c r="AO140" s="6">
        <v>0.23552502453385674</v>
      </c>
      <c r="AP140" s="6">
        <f t="shared" si="109"/>
        <v>2.5000000000000001E-2</v>
      </c>
      <c r="AQ140" s="6">
        <v>0.92792934249263992</v>
      </c>
      <c r="AR140" s="6">
        <v>4.8478900883218837E-2</v>
      </c>
      <c r="AS140" s="5" t="s">
        <v>395</v>
      </c>
      <c r="AT140" s="5" t="s">
        <v>395</v>
      </c>
      <c r="AU140" s="5" t="s">
        <v>395</v>
      </c>
      <c r="AV140" s="5" t="s">
        <v>395</v>
      </c>
      <c r="AW140" s="5" t="s">
        <v>395</v>
      </c>
      <c r="AX140" s="5" t="s">
        <v>395</v>
      </c>
      <c r="AY140" s="5" t="s">
        <v>395</v>
      </c>
      <c r="AZ140" s="5" t="s">
        <v>395</v>
      </c>
      <c r="BA140" s="5" t="s">
        <v>395</v>
      </c>
      <c r="BB140" s="5" t="s">
        <v>395</v>
      </c>
      <c r="BC140" s="6">
        <v>213</v>
      </c>
      <c r="BD140" s="6">
        <f t="shared" si="110"/>
        <v>0.1</v>
      </c>
      <c r="BE140" s="6">
        <f t="shared" ref="BE140:BE149" si="115">0.5*0.1</f>
        <v>0.05</v>
      </c>
      <c r="BF140" s="6">
        <v>0.47</v>
      </c>
      <c r="BG140" s="6">
        <f t="shared" si="111"/>
        <v>0.1</v>
      </c>
      <c r="BH140" s="6">
        <v>0.57172696897374697</v>
      </c>
      <c r="BI140" s="6">
        <v>9.7253365155131242</v>
      </c>
      <c r="BJ140" s="6">
        <v>3.72</v>
      </c>
      <c r="BK140" s="6">
        <f>0.5*0.05</f>
        <v>2.5000000000000001E-2</v>
      </c>
      <c r="BL140" s="6">
        <v>8.9071694510739832</v>
      </c>
      <c r="BM140" s="6">
        <v>0.24847923627684962</v>
      </c>
      <c r="BN140" s="6">
        <v>310</v>
      </c>
      <c r="BO140" s="6">
        <v>1.5470928635688512</v>
      </c>
      <c r="BP140" s="6">
        <v>1.1857210555583342</v>
      </c>
      <c r="BQ140" s="6">
        <v>0.51396705079173755</v>
      </c>
      <c r="BR140" s="6">
        <v>8.577870090022321</v>
      </c>
      <c r="BS140" s="6">
        <f t="shared" si="112"/>
        <v>0.1</v>
      </c>
      <c r="BT140" s="6">
        <v>4.2280056209031889</v>
      </c>
      <c r="BU140" s="6">
        <f t="shared" ref="BU140:BU146" si="116">0.5*2.5</f>
        <v>1.25</v>
      </c>
      <c r="BV140" s="6">
        <v>0.64123531398228806</v>
      </c>
      <c r="BW140" s="6">
        <v>0.26080067244096022</v>
      </c>
      <c r="BX140" s="6">
        <v>1.3044144932466386</v>
      </c>
      <c r="BY140" s="6">
        <v>1.4848243284178557</v>
      </c>
      <c r="BZ140" s="6">
        <v>4.1993884650383499</v>
      </c>
      <c r="CA140" s="6">
        <f t="shared" si="114"/>
        <v>0.1</v>
      </c>
      <c r="CB140" s="6">
        <v>0.20420406553216125</v>
      </c>
      <c r="CC140" s="6">
        <v>25.886505919185705</v>
      </c>
      <c r="CD140" s="6">
        <v>0.1940735455380852</v>
      </c>
      <c r="CE140" s="6">
        <v>1.003616196104157</v>
      </c>
      <c r="CF140" s="6">
        <f t="shared" si="113"/>
        <v>0.1</v>
      </c>
      <c r="CG140" s="6">
        <f t="shared" si="113"/>
        <v>0.1</v>
      </c>
      <c r="CH140" s="6">
        <f t="shared" si="113"/>
        <v>0.1</v>
      </c>
      <c r="CI140" s="5" t="s">
        <v>395</v>
      </c>
      <c r="CJ140" s="5" t="s">
        <v>395</v>
      </c>
      <c r="CK140" s="5" t="s">
        <v>395</v>
      </c>
      <c r="CL140" s="5" t="s">
        <v>395</v>
      </c>
      <c r="CM140" s="5" t="s">
        <v>395</v>
      </c>
      <c r="CN140" s="5" t="s">
        <v>395</v>
      </c>
      <c r="CO140" s="5" t="s">
        <v>395</v>
      </c>
      <c r="CP140" s="5" t="s">
        <v>395</v>
      </c>
      <c r="CQ140" s="5" t="s">
        <v>395</v>
      </c>
      <c r="CR140" s="5" t="s">
        <v>395</v>
      </c>
      <c r="CS140" s="5" t="s">
        <v>395</v>
      </c>
      <c r="CT140" s="5" t="s">
        <v>395</v>
      </c>
      <c r="CU140" s="5" t="s">
        <v>395</v>
      </c>
      <c r="CV140" s="5" t="s">
        <v>395</v>
      </c>
      <c r="CW140" s="5" t="s">
        <v>395</v>
      </c>
      <c r="CX140" s="5" t="s">
        <v>395</v>
      </c>
      <c r="CY140" s="252" t="s">
        <v>395</v>
      </c>
    </row>
    <row r="141" spans="1:103" x14ac:dyDescent="0.3">
      <c r="A141" s="28" t="s">
        <v>21</v>
      </c>
      <c r="B141" s="49" t="s">
        <v>21</v>
      </c>
      <c r="C141" s="14" t="s">
        <v>20</v>
      </c>
      <c r="E141" s="10"/>
      <c r="F141" s="11"/>
      <c r="G141" s="3">
        <v>42961</v>
      </c>
      <c r="H141" s="1">
        <v>2017</v>
      </c>
      <c r="I141" s="126" t="s">
        <v>33</v>
      </c>
      <c r="J141" s="126">
        <v>10</v>
      </c>
      <c r="K141" s="251">
        <v>0.50703889286564841</v>
      </c>
      <c r="L141" s="5">
        <v>4.1492776886035552</v>
      </c>
      <c r="M141" s="6">
        <v>3.445519147256218E-2</v>
      </c>
      <c r="N141" s="6">
        <v>0.10729865771812079</v>
      </c>
      <c r="O141" s="6">
        <v>0.75058231346229765</v>
      </c>
      <c r="P141" s="6">
        <v>0.62582905645479669</v>
      </c>
      <c r="Q141" s="6">
        <v>2.0800582313462299</v>
      </c>
      <c r="R141" s="6">
        <v>2.0016877220686937</v>
      </c>
      <c r="S141" s="6">
        <v>0.89178839320963288</v>
      </c>
      <c r="T141" s="6">
        <v>6.4916995657323335</v>
      </c>
      <c r="U141" s="5">
        <f t="shared" si="102"/>
        <v>57.844384245606918</v>
      </c>
      <c r="V141" s="6">
        <f t="shared" si="105"/>
        <v>6.4999999999999997E-3</v>
      </c>
      <c r="W141" s="6">
        <v>0.17639634160875056</v>
      </c>
      <c r="X141" s="6">
        <v>6.1427336750044054E-2</v>
      </c>
      <c r="Y141" s="6">
        <v>9.2343201756896365E-2</v>
      </c>
      <c r="Z141" s="6">
        <f>0.5*0.013</f>
        <v>6.4999999999999997E-3</v>
      </c>
      <c r="AA141" s="6">
        <v>3.2108825134651069E-2</v>
      </c>
      <c r="AB141" s="6">
        <v>1.4740134460428609E-2</v>
      </c>
      <c r="AC141" s="6" t="s">
        <v>395</v>
      </c>
      <c r="AD141" s="6" t="s">
        <v>395</v>
      </c>
      <c r="AE141" s="5">
        <f t="shared" si="87"/>
        <v>0.38351583971077069</v>
      </c>
      <c r="AF141" s="6">
        <f t="shared" si="106"/>
        <v>1.4999999999999999E-2</v>
      </c>
      <c r="AG141" s="250" t="s">
        <v>395</v>
      </c>
      <c r="AH141" s="253">
        <v>36.719764011799413</v>
      </c>
      <c r="AI141" s="6">
        <f t="shared" si="107"/>
        <v>0.1</v>
      </c>
      <c r="AJ141" s="6">
        <f t="shared" si="107"/>
        <v>0.1</v>
      </c>
      <c r="AK141" s="6">
        <v>4.0642412323828286E-2</v>
      </c>
      <c r="AL141" s="6">
        <f t="shared" si="108"/>
        <v>0.05</v>
      </c>
      <c r="AM141" s="6">
        <f t="shared" si="108"/>
        <v>0.05</v>
      </c>
      <c r="AN141" s="6">
        <v>1.3517109144542774</v>
      </c>
      <c r="AO141" s="6">
        <v>1.056047197640118</v>
      </c>
      <c r="AP141" s="6">
        <f t="shared" si="109"/>
        <v>2.5000000000000001E-2</v>
      </c>
      <c r="AQ141" s="6">
        <v>1.0585644051130778</v>
      </c>
      <c r="AR141" s="6">
        <v>4.5722713864306784E-2</v>
      </c>
      <c r="AS141" s="5" t="s">
        <v>395</v>
      </c>
      <c r="AT141" s="5" t="s">
        <v>395</v>
      </c>
      <c r="AU141" s="5" t="s">
        <v>395</v>
      </c>
      <c r="AV141" s="5" t="s">
        <v>395</v>
      </c>
      <c r="AW141" s="5" t="s">
        <v>395</v>
      </c>
      <c r="AX141" s="5" t="s">
        <v>395</v>
      </c>
      <c r="AY141" s="5" t="s">
        <v>395</v>
      </c>
      <c r="AZ141" s="5" t="s">
        <v>395</v>
      </c>
      <c r="BA141" s="5" t="s">
        <v>395</v>
      </c>
      <c r="BB141" s="5" t="s">
        <v>395</v>
      </c>
      <c r="BC141" s="6">
        <v>587</v>
      </c>
      <c r="BD141" s="6">
        <f t="shared" si="110"/>
        <v>0.1</v>
      </c>
      <c r="BE141" s="6">
        <f t="shared" si="115"/>
        <v>0.05</v>
      </c>
      <c r="BF141" s="6">
        <v>0.60899999999999999</v>
      </c>
      <c r="BG141" s="6">
        <f t="shared" si="111"/>
        <v>0.1</v>
      </c>
      <c r="BH141" s="6">
        <v>0.54630310994305742</v>
      </c>
      <c r="BI141" s="6">
        <v>19.587483574244416</v>
      </c>
      <c r="BJ141" s="6">
        <v>14.8</v>
      </c>
      <c r="BK141" s="6">
        <v>1.7</v>
      </c>
      <c r="BL141" s="6">
        <v>13.677463863337712</v>
      </c>
      <c r="BM141" s="6">
        <v>0.28830705212439772</v>
      </c>
      <c r="BN141" s="6">
        <v>68</v>
      </c>
      <c r="BO141" s="6">
        <v>0.95745339478638347</v>
      </c>
      <c r="BP141" s="6">
        <v>0.55054281442904895</v>
      </c>
      <c r="BQ141" s="6">
        <v>4.031719246854939</v>
      </c>
      <c r="BR141" s="6">
        <v>5.2795278025854735</v>
      </c>
      <c r="BS141" s="6">
        <f t="shared" si="112"/>
        <v>0.1</v>
      </c>
      <c r="BT141" s="6">
        <v>2.7754233961210208</v>
      </c>
      <c r="BU141" s="6">
        <f t="shared" si="116"/>
        <v>1.25</v>
      </c>
      <c r="BV141" s="6">
        <f t="shared" ref="BV141:BW146" si="117">0.5*0.2</f>
        <v>0.1</v>
      </c>
      <c r="BW141" s="6">
        <f t="shared" si="117"/>
        <v>0.1</v>
      </c>
      <c r="BX141" s="6">
        <v>0.75246197355842348</v>
      </c>
      <c r="BY141" s="6">
        <v>1.1208792380866111</v>
      </c>
      <c r="BZ141" s="6">
        <v>3.8334489820177549</v>
      </c>
      <c r="CA141" s="6">
        <f t="shared" si="114"/>
        <v>0.1</v>
      </c>
      <c r="CB141" s="6">
        <f>0.5*0.2</f>
        <v>0.1</v>
      </c>
      <c r="CC141" s="6">
        <f>0.5*0.2</f>
        <v>0.1</v>
      </c>
      <c r="CD141" s="6">
        <f>0.5*0.2</f>
        <v>0.1</v>
      </c>
      <c r="CE141" s="6">
        <v>0.54570643268730235</v>
      </c>
      <c r="CF141" s="6">
        <f t="shared" si="113"/>
        <v>0.1</v>
      </c>
      <c r="CG141" s="6">
        <f t="shared" si="113"/>
        <v>0.1</v>
      </c>
      <c r="CH141" s="6">
        <f t="shared" si="113"/>
        <v>0.1</v>
      </c>
      <c r="CI141" s="5" t="s">
        <v>395</v>
      </c>
      <c r="CJ141" s="5" t="s">
        <v>395</v>
      </c>
      <c r="CK141" s="5" t="s">
        <v>395</v>
      </c>
      <c r="CL141" s="5" t="s">
        <v>395</v>
      </c>
      <c r="CM141" s="5" t="s">
        <v>395</v>
      </c>
      <c r="CN141" s="5" t="s">
        <v>395</v>
      </c>
      <c r="CO141" s="5" t="s">
        <v>395</v>
      </c>
      <c r="CP141" s="5" t="s">
        <v>395</v>
      </c>
      <c r="CQ141" s="5" t="s">
        <v>395</v>
      </c>
      <c r="CR141" s="5" t="s">
        <v>395</v>
      </c>
      <c r="CS141" s="5" t="s">
        <v>395</v>
      </c>
      <c r="CT141" s="5" t="s">
        <v>395</v>
      </c>
      <c r="CU141" s="5" t="s">
        <v>395</v>
      </c>
      <c r="CV141" s="5" t="s">
        <v>395</v>
      </c>
      <c r="CW141" s="5" t="s">
        <v>395</v>
      </c>
      <c r="CX141" s="5" t="s">
        <v>395</v>
      </c>
      <c r="CY141" s="252" t="s">
        <v>395</v>
      </c>
    </row>
    <row r="142" spans="1:103" x14ac:dyDescent="0.3">
      <c r="A142" s="29" t="s">
        <v>22</v>
      </c>
      <c r="B142" s="50" t="s">
        <v>22</v>
      </c>
      <c r="C142" s="14" t="s">
        <v>20</v>
      </c>
      <c r="E142" s="12"/>
      <c r="F142" s="13"/>
      <c r="G142" s="4">
        <v>42985</v>
      </c>
      <c r="H142" s="16">
        <v>2017</v>
      </c>
      <c r="I142" s="121" t="s">
        <v>33</v>
      </c>
      <c r="J142" s="121">
        <v>10</v>
      </c>
      <c r="K142" s="251">
        <v>0.42030051486814662</v>
      </c>
      <c r="L142" s="5">
        <v>4.7704590818362007</v>
      </c>
      <c r="M142" s="6">
        <v>0.71336541616537241</v>
      </c>
      <c r="N142" s="6">
        <v>1.6686700207809251</v>
      </c>
      <c r="O142" s="6">
        <v>3.7139943125888655</v>
      </c>
      <c r="P142" s="6">
        <v>2.6614568522366837</v>
      </c>
      <c r="Q142" s="6">
        <v>5.305080389368916</v>
      </c>
      <c r="R142" s="6">
        <v>4.9528929235480685</v>
      </c>
      <c r="S142" s="6">
        <v>1.9803237449414852</v>
      </c>
      <c r="T142" s="6">
        <v>20.995783659630316</v>
      </c>
      <c r="U142" s="5">
        <f t="shared" si="102"/>
        <v>218.10973528244824</v>
      </c>
      <c r="V142" s="6">
        <f t="shared" si="105"/>
        <v>6.4999999999999997E-3</v>
      </c>
      <c r="W142" s="6">
        <v>0.25535616727969934</v>
      </c>
      <c r="X142" s="6">
        <v>9.5357270999735233E-2</v>
      </c>
      <c r="Y142" s="6">
        <v>0.26902597589390986</v>
      </c>
      <c r="Z142" s="6">
        <f>0.5*0.013</f>
        <v>6.4999999999999997E-3</v>
      </c>
      <c r="AA142" s="6">
        <v>3.1730525449955339E-2</v>
      </c>
      <c r="AB142" s="6">
        <v>2.6055483691934601E-2</v>
      </c>
      <c r="AC142" s="6" t="s">
        <v>395</v>
      </c>
      <c r="AD142" s="6" t="s">
        <v>395</v>
      </c>
      <c r="AE142" s="5">
        <f t="shared" si="87"/>
        <v>0.68402542331523442</v>
      </c>
      <c r="AF142" s="6">
        <f t="shared" si="106"/>
        <v>1.4999999999999999E-2</v>
      </c>
      <c r="AG142" s="250" t="s">
        <v>395</v>
      </c>
      <c r="AH142" s="253">
        <v>17.311219512195123</v>
      </c>
      <c r="AI142" s="6">
        <f t="shared" si="107"/>
        <v>0.1</v>
      </c>
      <c r="AJ142" s="6">
        <f t="shared" si="107"/>
        <v>0.1</v>
      </c>
      <c r="AK142" s="6">
        <f>0.5*0.02</f>
        <v>0.01</v>
      </c>
      <c r="AL142" s="6">
        <f t="shared" si="108"/>
        <v>0.05</v>
      </c>
      <c r="AM142" s="6">
        <f t="shared" si="108"/>
        <v>0.05</v>
      </c>
      <c r="AN142" s="6">
        <v>0.57725853658536586</v>
      </c>
      <c r="AO142" s="6">
        <v>0.28390243902439027</v>
      </c>
      <c r="AP142" s="6">
        <f t="shared" si="109"/>
        <v>2.5000000000000001E-2</v>
      </c>
      <c r="AQ142" s="6">
        <v>0.71176585365853662</v>
      </c>
      <c r="AR142" s="6">
        <v>7.8439024390243903E-2</v>
      </c>
      <c r="AS142" s="5" t="s">
        <v>395</v>
      </c>
      <c r="AT142" s="5" t="s">
        <v>395</v>
      </c>
      <c r="AU142" s="5" t="s">
        <v>395</v>
      </c>
      <c r="AV142" s="5" t="s">
        <v>395</v>
      </c>
      <c r="AW142" s="5" t="s">
        <v>395</v>
      </c>
      <c r="AX142" s="5" t="s">
        <v>395</v>
      </c>
      <c r="AY142" s="5" t="s">
        <v>395</v>
      </c>
      <c r="AZ142" s="5" t="s">
        <v>395</v>
      </c>
      <c r="BA142" s="5" t="s">
        <v>395</v>
      </c>
      <c r="BB142" s="5" t="s">
        <v>395</v>
      </c>
      <c r="BC142" s="6">
        <v>192</v>
      </c>
      <c r="BD142" s="6">
        <f t="shared" si="110"/>
        <v>0.1</v>
      </c>
      <c r="BE142" s="6">
        <f t="shared" si="115"/>
        <v>0.05</v>
      </c>
      <c r="BF142" s="6">
        <v>0.26500000000000001</v>
      </c>
      <c r="BG142" s="6">
        <f t="shared" si="111"/>
        <v>0.1</v>
      </c>
      <c r="BH142" s="6">
        <v>0.42019573503657154</v>
      </c>
      <c r="BI142" s="6">
        <v>7.5175543422272577</v>
      </c>
      <c r="BJ142" s="6">
        <v>2.85</v>
      </c>
      <c r="BK142" s="6">
        <f>0.5*0.05</f>
        <v>2.5000000000000001E-2</v>
      </c>
      <c r="BL142" s="6">
        <v>8.3241578242505394</v>
      </c>
      <c r="BM142" s="6">
        <v>0.2990439888740084</v>
      </c>
      <c r="BN142" s="6">
        <v>83</v>
      </c>
      <c r="BO142" s="6">
        <v>2.9999785292300758</v>
      </c>
      <c r="BP142" s="6">
        <v>0.18418420460123613</v>
      </c>
      <c r="BQ142" s="6">
        <v>0.29240110574376638</v>
      </c>
      <c r="BR142" s="6">
        <v>6.3669350065018637</v>
      </c>
      <c r="BS142" s="6">
        <f t="shared" si="112"/>
        <v>0.1</v>
      </c>
      <c r="BT142" s="6">
        <v>16.233059670336107</v>
      </c>
      <c r="BU142" s="6">
        <f t="shared" si="116"/>
        <v>1.25</v>
      </c>
      <c r="BV142" s="6">
        <f t="shared" si="117"/>
        <v>0.1</v>
      </c>
      <c r="BW142" s="6">
        <f t="shared" si="117"/>
        <v>0.1</v>
      </c>
      <c r="BX142" s="6">
        <v>0.84820274349753311</v>
      </c>
      <c r="BY142" s="6">
        <v>1.5876104345265103</v>
      </c>
      <c r="BZ142" s="6">
        <v>4.9392908468709829</v>
      </c>
      <c r="CA142" s="6">
        <f t="shared" si="114"/>
        <v>0.1</v>
      </c>
      <c r="CB142" s="6">
        <f t="shared" ref="CB142:CC145" si="118">0.5*0.2</f>
        <v>0.1</v>
      </c>
      <c r="CC142" s="6">
        <f t="shared" si="118"/>
        <v>0.1</v>
      </c>
      <c r="CD142" s="6">
        <v>0.42577950477359999</v>
      </c>
      <c r="CE142" s="6">
        <v>1.6028701491040183</v>
      </c>
      <c r="CF142" s="6">
        <f t="shared" si="113"/>
        <v>0.1</v>
      </c>
      <c r="CG142" s="6">
        <f t="shared" si="113"/>
        <v>0.1</v>
      </c>
      <c r="CH142" s="6">
        <f t="shared" si="113"/>
        <v>0.1</v>
      </c>
      <c r="CI142" s="5" t="s">
        <v>395</v>
      </c>
      <c r="CJ142" s="5" t="s">
        <v>395</v>
      </c>
      <c r="CK142" s="5" t="s">
        <v>395</v>
      </c>
      <c r="CL142" s="5" t="s">
        <v>395</v>
      </c>
      <c r="CM142" s="5" t="s">
        <v>395</v>
      </c>
      <c r="CN142" s="5" t="s">
        <v>395</v>
      </c>
      <c r="CO142" s="5" t="s">
        <v>395</v>
      </c>
      <c r="CP142" s="5" t="s">
        <v>395</v>
      </c>
      <c r="CQ142" s="5" t="s">
        <v>395</v>
      </c>
      <c r="CR142" s="5" t="s">
        <v>395</v>
      </c>
      <c r="CS142" s="5" t="s">
        <v>395</v>
      </c>
      <c r="CT142" s="5" t="s">
        <v>395</v>
      </c>
      <c r="CU142" s="5" t="s">
        <v>395</v>
      </c>
      <c r="CV142" s="5" t="s">
        <v>395</v>
      </c>
      <c r="CW142" s="5" t="s">
        <v>395</v>
      </c>
      <c r="CX142" s="5" t="s">
        <v>395</v>
      </c>
      <c r="CY142" s="252" t="s">
        <v>395</v>
      </c>
    </row>
    <row r="143" spans="1:103" x14ac:dyDescent="0.3">
      <c r="A143" s="29" t="s">
        <v>25</v>
      </c>
      <c r="B143" s="50" t="s">
        <v>25</v>
      </c>
      <c r="C143" s="14" t="s">
        <v>20</v>
      </c>
      <c r="E143" s="12"/>
      <c r="F143" s="13"/>
      <c r="G143" s="4">
        <v>42962</v>
      </c>
      <c r="H143" s="1">
        <v>2017</v>
      </c>
      <c r="I143" s="126" t="s">
        <v>33</v>
      </c>
      <c r="J143" s="126">
        <v>10</v>
      </c>
      <c r="K143" s="251">
        <v>0.45115831094437497</v>
      </c>
      <c r="L143" s="5">
        <v>3.6928386540120557</v>
      </c>
      <c r="M143" s="6">
        <v>3.4289932638184001E-2</v>
      </c>
      <c r="N143" s="6">
        <v>9.1302943619082769E-2</v>
      </c>
      <c r="O143" s="6">
        <v>0.38661068561409989</v>
      </c>
      <c r="P143" s="6">
        <v>0.29720402325366801</v>
      </c>
      <c r="Q143" s="6">
        <v>0.82254775306819228</v>
      </c>
      <c r="R143" s="6">
        <v>0.77604503091261423</v>
      </c>
      <c r="S143" s="6">
        <v>0.32070683768570635</v>
      </c>
      <c r="T143" s="6">
        <v>2.7287072067915479</v>
      </c>
      <c r="U143" s="5">
        <f t="shared" si="102"/>
        <v>26.947338933513173</v>
      </c>
      <c r="V143" s="6">
        <f t="shared" si="105"/>
        <v>6.4999999999999997E-3</v>
      </c>
      <c r="W143" s="6">
        <v>5.6953680545536747E-2</v>
      </c>
      <c r="X143" s="6">
        <f>0.5*0.01</f>
        <v>5.0000000000000001E-3</v>
      </c>
      <c r="Y143" s="6">
        <v>6.0711184030465694E-2</v>
      </c>
      <c r="Z143" s="6">
        <v>1.2471803597822488E-2</v>
      </c>
      <c r="AA143" s="6">
        <f>0.5*0.02</f>
        <v>0.01</v>
      </c>
      <c r="AB143" s="6">
        <v>1.3801074500573902E-2</v>
      </c>
      <c r="AC143" s="6" t="s">
        <v>395</v>
      </c>
      <c r="AD143" s="7" t="s">
        <v>395</v>
      </c>
      <c r="AE143" s="5">
        <f t="shared" si="87"/>
        <v>0.15296593907657638</v>
      </c>
      <c r="AF143" s="6">
        <f t="shared" si="106"/>
        <v>1.4999999999999999E-2</v>
      </c>
      <c r="AG143" s="250" t="s">
        <v>395</v>
      </c>
      <c r="AH143" s="253">
        <v>35.969260326609032</v>
      </c>
      <c r="AI143" s="6">
        <f t="shared" si="107"/>
        <v>0.1</v>
      </c>
      <c r="AJ143" s="6">
        <f t="shared" si="107"/>
        <v>0.1</v>
      </c>
      <c r="AK143" s="6">
        <f>0.5*0.02</f>
        <v>0.01</v>
      </c>
      <c r="AL143" s="6">
        <f t="shared" si="108"/>
        <v>0.05</v>
      </c>
      <c r="AM143" s="6">
        <f t="shared" si="108"/>
        <v>0.05</v>
      </c>
      <c r="AN143" s="6">
        <v>0.85945244956772338</v>
      </c>
      <c r="AO143" s="6">
        <v>0.41690682036503357</v>
      </c>
      <c r="AP143" s="6">
        <f t="shared" si="109"/>
        <v>2.5000000000000001E-2</v>
      </c>
      <c r="AQ143" s="6">
        <v>0.40303554274735831</v>
      </c>
      <c r="AR143" s="6">
        <f>0.5*0.05</f>
        <v>2.5000000000000001E-2</v>
      </c>
      <c r="AS143" s="5" t="s">
        <v>395</v>
      </c>
      <c r="AT143" s="5" t="s">
        <v>395</v>
      </c>
      <c r="AU143" s="5" t="s">
        <v>395</v>
      </c>
      <c r="AV143" s="5" t="s">
        <v>395</v>
      </c>
      <c r="AW143" s="5" t="s">
        <v>395</v>
      </c>
      <c r="AX143" s="5" t="s">
        <v>395</v>
      </c>
      <c r="AY143" s="5" t="s">
        <v>395</v>
      </c>
      <c r="AZ143" s="5" t="s">
        <v>395</v>
      </c>
      <c r="BA143" s="5" t="s">
        <v>395</v>
      </c>
      <c r="BB143" s="5" t="s">
        <v>395</v>
      </c>
      <c r="BC143" s="6">
        <v>579</v>
      </c>
      <c r="BD143" s="6">
        <f t="shared" si="110"/>
        <v>0.1</v>
      </c>
      <c r="BE143" s="6">
        <f t="shared" si="115"/>
        <v>0.05</v>
      </c>
      <c r="BF143" s="6">
        <v>0.42699999999999999</v>
      </c>
      <c r="BG143" s="6">
        <f t="shared" si="111"/>
        <v>0.1</v>
      </c>
      <c r="BH143" s="6">
        <v>0.63869239228231534</v>
      </c>
      <c r="BI143" s="6">
        <v>12.783454963510948</v>
      </c>
      <c r="BJ143" s="6">
        <v>7.17</v>
      </c>
      <c r="BK143" s="6">
        <v>3.2</v>
      </c>
      <c r="BL143" s="6">
        <v>6.3783464960511846</v>
      </c>
      <c r="BM143" s="6">
        <v>0.25720483854843551</v>
      </c>
      <c r="BN143" s="6">
        <v>130</v>
      </c>
      <c r="BO143" s="6">
        <v>0.86808938352401754</v>
      </c>
      <c r="BP143" s="6">
        <v>0.30351418923293927</v>
      </c>
      <c r="BQ143" s="6">
        <v>0.23707257465100043</v>
      </c>
      <c r="BR143" s="6">
        <v>4.9382036276577743</v>
      </c>
      <c r="BS143" s="6">
        <f t="shared" si="112"/>
        <v>0.1</v>
      </c>
      <c r="BT143" s="6">
        <v>2.4737963202353841</v>
      </c>
      <c r="BU143" s="6">
        <f t="shared" si="116"/>
        <v>1.25</v>
      </c>
      <c r="BV143" s="6">
        <f t="shared" si="117"/>
        <v>0.1</v>
      </c>
      <c r="BW143" s="6">
        <f t="shared" si="117"/>
        <v>0.1</v>
      </c>
      <c r="BX143" s="6">
        <v>1.334697716239625</v>
      </c>
      <c r="BY143" s="6">
        <v>1.3162901845739678</v>
      </c>
      <c r="BZ143" s="6">
        <v>2.9396617180144951</v>
      </c>
      <c r="CA143" s="6">
        <f t="shared" si="114"/>
        <v>0.1</v>
      </c>
      <c r="CB143" s="6">
        <f t="shared" si="118"/>
        <v>0.1</v>
      </c>
      <c r="CC143" s="6">
        <f t="shared" si="118"/>
        <v>0.1</v>
      </c>
      <c r="CD143" s="6">
        <f>0.5*0.2</f>
        <v>0.1</v>
      </c>
      <c r="CE143" s="6">
        <f>0.5*0.5</f>
        <v>0.25</v>
      </c>
      <c r="CF143" s="6">
        <f t="shared" si="113"/>
        <v>0.1</v>
      </c>
      <c r="CG143" s="6">
        <f t="shared" si="113"/>
        <v>0.1</v>
      </c>
      <c r="CH143" s="6">
        <f t="shared" si="113"/>
        <v>0.1</v>
      </c>
      <c r="CI143" s="5" t="s">
        <v>395</v>
      </c>
      <c r="CJ143" s="5" t="s">
        <v>395</v>
      </c>
      <c r="CK143" s="5" t="s">
        <v>395</v>
      </c>
      <c r="CL143" s="5" t="s">
        <v>395</v>
      </c>
      <c r="CM143" s="5" t="s">
        <v>395</v>
      </c>
      <c r="CN143" s="5" t="s">
        <v>395</v>
      </c>
      <c r="CO143" s="5" t="s">
        <v>395</v>
      </c>
      <c r="CP143" s="5" t="s">
        <v>395</v>
      </c>
      <c r="CQ143" s="5" t="s">
        <v>395</v>
      </c>
      <c r="CR143" s="5" t="s">
        <v>395</v>
      </c>
      <c r="CS143" s="5" t="s">
        <v>395</v>
      </c>
      <c r="CT143" s="5" t="s">
        <v>395</v>
      </c>
      <c r="CU143" s="5" t="s">
        <v>395</v>
      </c>
      <c r="CV143" s="5" t="s">
        <v>395</v>
      </c>
      <c r="CW143" s="5" t="s">
        <v>395</v>
      </c>
      <c r="CX143" s="5" t="s">
        <v>395</v>
      </c>
      <c r="CY143" s="252" t="s">
        <v>395</v>
      </c>
    </row>
    <row r="144" spans="1:103" x14ac:dyDescent="0.3">
      <c r="A144" s="29" t="s">
        <v>5</v>
      </c>
      <c r="B144" s="50" t="s">
        <v>5</v>
      </c>
      <c r="C144" s="14" t="s">
        <v>20</v>
      </c>
      <c r="E144" s="12"/>
      <c r="F144" s="13"/>
      <c r="G144" s="4">
        <v>42968</v>
      </c>
      <c r="H144" s="16">
        <v>2017</v>
      </c>
      <c r="I144" s="121" t="s">
        <v>33</v>
      </c>
      <c r="J144" s="121">
        <v>10</v>
      </c>
      <c r="K144" s="251">
        <v>0.32914989344067203</v>
      </c>
      <c r="L144" s="5">
        <v>7.303705468843205</v>
      </c>
      <c r="M144" s="6">
        <v>0.85847941888619861</v>
      </c>
      <c r="N144" s="6">
        <v>1.8717142857142859</v>
      </c>
      <c r="O144" s="6">
        <v>4.2495108958837768</v>
      </c>
      <c r="P144" s="6">
        <v>3.3886585956416471</v>
      </c>
      <c r="Q144" s="6">
        <v>4.8051961259079903</v>
      </c>
      <c r="R144" s="6">
        <v>4.73496368038741</v>
      </c>
      <c r="S144" s="6">
        <v>1.4049588377723972</v>
      </c>
      <c r="T144" s="6">
        <v>21.313481840193706</v>
      </c>
      <c r="U144" s="5">
        <f t="shared" si="102"/>
        <v>272.28967108541593</v>
      </c>
      <c r="V144" s="6">
        <v>1.4188479380229126E-2</v>
      </c>
      <c r="W144" s="6">
        <v>0.31560819344274726</v>
      </c>
      <c r="X144" s="6">
        <v>0.12461929479743412</v>
      </c>
      <c r="Y144" s="6">
        <v>0.28000000000000003</v>
      </c>
      <c r="Z144" s="6">
        <v>2.5940984890961076E-2</v>
      </c>
      <c r="AA144" s="6">
        <v>4.4061211569325985E-2</v>
      </c>
      <c r="AB144" s="6">
        <v>3.5086570997494314E-2</v>
      </c>
      <c r="AC144" s="6" t="s">
        <v>395</v>
      </c>
      <c r="AD144" s="6" t="s">
        <v>395</v>
      </c>
      <c r="AE144" s="5">
        <f t="shared" si="87"/>
        <v>0.81356375018723093</v>
      </c>
      <c r="AF144" s="6">
        <f t="shared" si="106"/>
        <v>1.4999999999999999E-2</v>
      </c>
      <c r="AG144" s="250" t="s">
        <v>395</v>
      </c>
      <c r="AH144" s="253">
        <v>14.945098039215686</v>
      </c>
      <c r="AI144" s="6">
        <f t="shared" si="107"/>
        <v>0.1</v>
      </c>
      <c r="AJ144" s="6">
        <f t="shared" si="107"/>
        <v>0.1</v>
      </c>
      <c r="AK144" s="6">
        <f>0.5*0.02</f>
        <v>0.01</v>
      </c>
      <c r="AL144" s="6">
        <f t="shared" si="108"/>
        <v>0.05</v>
      </c>
      <c r="AM144" s="6">
        <f t="shared" si="108"/>
        <v>0.05</v>
      </c>
      <c r="AN144" s="6">
        <v>0.42910784313725492</v>
      </c>
      <c r="AO144" s="6">
        <v>0.16666666666666666</v>
      </c>
      <c r="AP144" s="6">
        <f t="shared" si="109"/>
        <v>2.5000000000000001E-2</v>
      </c>
      <c r="AQ144" s="6">
        <v>0.43682352941176472</v>
      </c>
      <c r="AR144" s="6">
        <v>6.0392156862745093E-2</v>
      </c>
      <c r="AS144" s="5" t="s">
        <v>395</v>
      </c>
      <c r="AT144" s="5" t="s">
        <v>395</v>
      </c>
      <c r="AU144" s="5" t="s">
        <v>395</v>
      </c>
      <c r="AV144" s="5" t="s">
        <v>395</v>
      </c>
      <c r="AW144" s="5" t="s">
        <v>395</v>
      </c>
      <c r="AX144" s="5" t="s">
        <v>395</v>
      </c>
      <c r="AY144" s="5" t="s">
        <v>395</v>
      </c>
      <c r="AZ144" s="5" t="s">
        <v>395</v>
      </c>
      <c r="BA144" s="5" t="s">
        <v>395</v>
      </c>
      <c r="BB144" s="5" t="s">
        <v>395</v>
      </c>
      <c r="BC144" s="6">
        <v>306</v>
      </c>
      <c r="BD144" s="6">
        <f t="shared" si="110"/>
        <v>0.1</v>
      </c>
      <c r="BE144" s="6">
        <f t="shared" si="115"/>
        <v>0.05</v>
      </c>
      <c r="BF144" s="6">
        <v>0.20699999999999999</v>
      </c>
      <c r="BG144" s="6">
        <f t="shared" si="111"/>
        <v>0.1</v>
      </c>
      <c r="BH144" s="6">
        <v>0.34745155126922028</v>
      </c>
      <c r="BI144" s="6">
        <v>9.4507233190792466</v>
      </c>
      <c r="BJ144" s="6">
        <v>4.55</v>
      </c>
      <c r="BK144" s="6">
        <f t="shared" ref="BK144:BK149" si="119">0.5*0.05</f>
        <v>2.5000000000000001E-2</v>
      </c>
      <c r="BL144" s="6">
        <v>9.5444090619597848</v>
      </c>
      <c r="BM144" s="6">
        <v>0.24500227458829954</v>
      </c>
      <c r="BN144" s="6">
        <v>110</v>
      </c>
      <c r="BO144" s="6">
        <v>0.97729124279127555</v>
      </c>
      <c r="BP144" s="6">
        <v>0.42200429980447113</v>
      </c>
      <c r="BQ144" s="6">
        <f>0.5*0.1</f>
        <v>0.05</v>
      </c>
      <c r="BR144" s="6">
        <v>2.5612225038126497</v>
      </c>
      <c r="BS144" s="6">
        <f t="shared" si="112"/>
        <v>0.1</v>
      </c>
      <c r="BT144" s="6">
        <v>1.7169193010677768</v>
      </c>
      <c r="BU144" s="6">
        <f t="shared" si="116"/>
        <v>1.25</v>
      </c>
      <c r="BV144" s="6">
        <f t="shared" si="117"/>
        <v>0.1</v>
      </c>
      <c r="BW144" s="6">
        <f t="shared" si="117"/>
        <v>0.1</v>
      </c>
      <c r="BX144" s="6">
        <v>0.70619700486637704</v>
      </c>
      <c r="BY144" s="6">
        <v>0.88274755045956688</v>
      </c>
      <c r="BZ144" s="6">
        <v>5.1620708424307242</v>
      </c>
      <c r="CA144" s="6">
        <f t="shared" si="114"/>
        <v>0.1</v>
      </c>
      <c r="CB144" s="6">
        <f t="shared" si="118"/>
        <v>0.1</v>
      </c>
      <c r="CC144" s="6">
        <f t="shared" si="118"/>
        <v>0.1</v>
      </c>
      <c r="CD144" s="6">
        <f>0.5*0.2</f>
        <v>0.1</v>
      </c>
      <c r="CE144" s="6">
        <v>0.76036983173790562</v>
      </c>
      <c r="CF144" s="6">
        <f t="shared" si="113"/>
        <v>0.1</v>
      </c>
      <c r="CG144" s="6">
        <f t="shared" si="113"/>
        <v>0.1</v>
      </c>
      <c r="CH144" s="6">
        <f t="shared" si="113"/>
        <v>0.1</v>
      </c>
      <c r="CI144" s="5" t="s">
        <v>395</v>
      </c>
      <c r="CJ144" s="5" t="s">
        <v>395</v>
      </c>
      <c r="CK144" s="5" t="s">
        <v>395</v>
      </c>
      <c r="CL144" s="5" t="s">
        <v>395</v>
      </c>
      <c r="CM144" s="5" t="s">
        <v>395</v>
      </c>
      <c r="CN144" s="5" t="s">
        <v>395</v>
      </c>
      <c r="CO144" s="5" t="s">
        <v>395</v>
      </c>
      <c r="CP144" s="5" t="s">
        <v>395</v>
      </c>
      <c r="CQ144" s="5" t="s">
        <v>395</v>
      </c>
      <c r="CR144" s="5" t="s">
        <v>395</v>
      </c>
      <c r="CS144" s="5" t="s">
        <v>395</v>
      </c>
      <c r="CT144" s="5" t="s">
        <v>395</v>
      </c>
      <c r="CU144" s="5" t="s">
        <v>395</v>
      </c>
      <c r="CV144" s="5" t="s">
        <v>395</v>
      </c>
      <c r="CW144" s="5" t="s">
        <v>395</v>
      </c>
      <c r="CX144" s="5" t="s">
        <v>395</v>
      </c>
      <c r="CY144" s="252" t="s">
        <v>395</v>
      </c>
    </row>
    <row r="145" spans="1:103" x14ac:dyDescent="0.3">
      <c r="A145" s="29" t="s">
        <v>23</v>
      </c>
      <c r="B145" s="50" t="s">
        <v>23</v>
      </c>
      <c r="C145" s="14" t="s">
        <v>20</v>
      </c>
      <c r="E145" s="12"/>
      <c r="F145" s="13"/>
      <c r="G145" s="4">
        <v>42969</v>
      </c>
      <c r="H145" s="1">
        <v>2017</v>
      </c>
      <c r="I145" s="126" t="s">
        <v>33</v>
      </c>
      <c r="J145" s="126">
        <v>10</v>
      </c>
      <c r="K145" s="251">
        <v>0.37161564324900703</v>
      </c>
      <c r="L145" s="5">
        <v>4.7382042604022478</v>
      </c>
      <c r="M145" s="6">
        <v>0.32140354292388557</v>
      </c>
      <c r="N145" s="6">
        <v>1.2512993965349426</v>
      </c>
      <c r="O145" s="6">
        <v>3.3881253649990271</v>
      </c>
      <c r="P145" s="6">
        <v>2.9017130620985014</v>
      </c>
      <c r="Q145" s="6">
        <v>5.0958876776328603</v>
      </c>
      <c r="R145" s="6">
        <v>4.7924274868600349</v>
      </c>
      <c r="S145" s="6">
        <v>1.9367821685808837</v>
      </c>
      <c r="T145" s="6">
        <v>19.687638699630135</v>
      </c>
      <c r="U145" s="5">
        <f t="shared" si="102"/>
        <v>225.85063280401189</v>
      </c>
      <c r="V145" s="6">
        <f>0.5*0.013</f>
        <v>6.4999999999999997E-3</v>
      </c>
      <c r="W145" s="6">
        <v>9.9613608519580982E-2</v>
      </c>
      <c r="X145" s="6">
        <v>3.8676569267013919E-2</v>
      </c>
      <c r="Y145" s="6">
        <v>4.7492991967385323E-2</v>
      </c>
      <c r="Z145" s="6">
        <f>0.5*0.013</f>
        <v>6.4999999999999997E-3</v>
      </c>
      <c r="AA145" s="6">
        <f>0.5*0.02</f>
        <v>0.01</v>
      </c>
      <c r="AB145" s="6">
        <f>0.5*0.013</f>
        <v>6.4999999999999997E-3</v>
      </c>
      <c r="AC145" s="6" t="s">
        <v>395</v>
      </c>
      <c r="AD145" s="6" t="s">
        <v>395</v>
      </c>
      <c r="AE145" s="5">
        <f t="shared" si="87"/>
        <v>0.20878316975398026</v>
      </c>
      <c r="AF145" s="6">
        <f t="shared" si="106"/>
        <v>1.4999999999999999E-2</v>
      </c>
      <c r="AG145" s="250" t="s">
        <v>395</v>
      </c>
      <c r="AH145" s="253">
        <v>10.774634146341462</v>
      </c>
      <c r="AI145" s="6">
        <f t="shared" si="107"/>
        <v>0.1</v>
      </c>
      <c r="AJ145" s="6">
        <f t="shared" si="107"/>
        <v>0.1</v>
      </c>
      <c r="AK145" s="6">
        <v>2.3739837398373997E-2</v>
      </c>
      <c r="AL145" s="6">
        <f t="shared" si="108"/>
        <v>0.05</v>
      </c>
      <c r="AM145" s="6">
        <f t="shared" si="108"/>
        <v>0.05</v>
      </c>
      <c r="AN145" s="6">
        <v>0.48360000000000009</v>
      </c>
      <c r="AO145" s="6">
        <v>0.22731707317073171</v>
      </c>
      <c r="AP145" s="6">
        <f t="shared" si="109"/>
        <v>2.5000000000000001E-2</v>
      </c>
      <c r="AQ145" s="6">
        <v>0.7224975609756098</v>
      </c>
      <c r="AR145" s="6">
        <v>2.9073170731707319E-2</v>
      </c>
      <c r="AS145" s="5" t="s">
        <v>395</v>
      </c>
      <c r="AT145" s="5" t="s">
        <v>395</v>
      </c>
      <c r="AU145" s="5" t="s">
        <v>395</v>
      </c>
      <c r="AV145" s="5" t="s">
        <v>395</v>
      </c>
      <c r="AW145" s="5" t="s">
        <v>395</v>
      </c>
      <c r="AX145" s="5" t="s">
        <v>395</v>
      </c>
      <c r="AY145" s="5" t="s">
        <v>395</v>
      </c>
      <c r="AZ145" s="5" t="s">
        <v>395</v>
      </c>
      <c r="BA145" s="5" t="s">
        <v>395</v>
      </c>
      <c r="BB145" s="5" t="s">
        <v>395</v>
      </c>
      <c r="BC145" s="6">
        <v>177</v>
      </c>
      <c r="BD145" s="6">
        <f t="shared" si="110"/>
        <v>0.1</v>
      </c>
      <c r="BE145" s="6">
        <f t="shared" si="115"/>
        <v>0.05</v>
      </c>
      <c r="BF145" s="6">
        <v>0.378</v>
      </c>
      <c r="BG145" s="6">
        <f t="shared" si="111"/>
        <v>0.1</v>
      </c>
      <c r="BH145" s="6">
        <v>0.6286248794599808</v>
      </c>
      <c r="BI145" s="6">
        <v>8.3773288331726139</v>
      </c>
      <c r="BJ145" s="6">
        <v>2.61</v>
      </c>
      <c r="BK145" s="6">
        <f t="shared" si="119"/>
        <v>2.5000000000000001E-2</v>
      </c>
      <c r="BL145" s="6">
        <v>9.3830858244937314</v>
      </c>
      <c r="BM145" s="6">
        <v>0.21531533269045325</v>
      </c>
      <c r="BN145" s="6">
        <v>320</v>
      </c>
      <c r="BO145" s="6">
        <v>0.92128477383202068</v>
      </c>
      <c r="BP145" s="6">
        <v>0.13728450199393563</v>
      </c>
      <c r="BQ145" s="6">
        <v>0.34650635190176066</v>
      </c>
      <c r="BR145" s="6">
        <v>5.6675155314329482</v>
      </c>
      <c r="BS145" s="6">
        <f t="shared" si="112"/>
        <v>0.1</v>
      </c>
      <c r="BT145" s="6">
        <v>2.0823541043755656</v>
      </c>
      <c r="BU145" s="6">
        <f t="shared" si="116"/>
        <v>1.25</v>
      </c>
      <c r="BV145" s="6">
        <f t="shared" si="117"/>
        <v>0.1</v>
      </c>
      <c r="BW145" s="6">
        <f t="shared" si="117"/>
        <v>0.1</v>
      </c>
      <c r="BX145" s="6">
        <v>0.60062519480696819</v>
      </c>
      <c r="BY145" s="6">
        <v>1.1188270596144783</v>
      </c>
      <c r="BZ145" s="6">
        <v>2.6917106200840069</v>
      </c>
      <c r="CA145" s="6">
        <f t="shared" si="114"/>
        <v>0.1</v>
      </c>
      <c r="CB145" s="6">
        <f t="shared" si="118"/>
        <v>0.1</v>
      </c>
      <c r="CC145" s="6">
        <f t="shared" si="118"/>
        <v>0.1</v>
      </c>
      <c r="CD145" s="6">
        <f>0.5*0.2</f>
        <v>0.1</v>
      </c>
      <c r="CE145" s="6">
        <v>0.87598084948298449</v>
      </c>
      <c r="CF145" s="6">
        <f t="shared" si="113"/>
        <v>0.1</v>
      </c>
      <c r="CG145" s="6">
        <f t="shared" si="113"/>
        <v>0.1</v>
      </c>
      <c r="CH145" s="6">
        <f t="shared" si="113"/>
        <v>0.1</v>
      </c>
      <c r="CI145" s="5" t="s">
        <v>395</v>
      </c>
      <c r="CJ145" s="5" t="s">
        <v>395</v>
      </c>
      <c r="CK145" s="5" t="s">
        <v>395</v>
      </c>
      <c r="CL145" s="5" t="s">
        <v>395</v>
      </c>
      <c r="CM145" s="5" t="s">
        <v>395</v>
      </c>
      <c r="CN145" s="5" t="s">
        <v>395</v>
      </c>
      <c r="CO145" s="5" t="s">
        <v>395</v>
      </c>
      <c r="CP145" s="5" t="s">
        <v>395</v>
      </c>
      <c r="CQ145" s="5" t="s">
        <v>395</v>
      </c>
      <c r="CR145" s="5" t="s">
        <v>395</v>
      </c>
      <c r="CS145" s="5" t="s">
        <v>395</v>
      </c>
      <c r="CT145" s="5" t="s">
        <v>395</v>
      </c>
      <c r="CU145" s="5" t="s">
        <v>395</v>
      </c>
      <c r="CV145" s="5" t="s">
        <v>395</v>
      </c>
      <c r="CW145" s="5" t="s">
        <v>395</v>
      </c>
      <c r="CX145" s="5" t="s">
        <v>395</v>
      </c>
      <c r="CY145" s="252" t="s">
        <v>395</v>
      </c>
    </row>
    <row r="146" spans="1:103" x14ac:dyDescent="0.3">
      <c r="A146" s="29" t="s">
        <v>6</v>
      </c>
      <c r="B146" s="50" t="s">
        <v>6</v>
      </c>
      <c r="C146" s="14" t="s">
        <v>20</v>
      </c>
      <c r="E146" s="12"/>
      <c r="F146" s="13"/>
      <c r="G146" s="4">
        <v>42957</v>
      </c>
      <c r="H146" s="16">
        <v>2017</v>
      </c>
      <c r="I146" s="121" t="s">
        <v>33</v>
      </c>
      <c r="J146" s="121">
        <v>10</v>
      </c>
      <c r="K146" s="251">
        <v>0.48081485464840734</v>
      </c>
      <c r="L146" s="5">
        <v>3.2548551589453578</v>
      </c>
      <c r="M146" s="6">
        <v>8.2224723141090181E-2</v>
      </c>
      <c r="N146" s="6">
        <v>0.32061577808622999</v>
      </c>
      <c r="O146" s="6">
        <v>1.2296579169630801</v>
      </c>
      <c r="P146" s="6">
        <v>0.98014140774538916</v>
      </c>
      <c r="Q146" s="6">
        <v>2.5194324532310421</v>
      </c>
      <c r="R146" s="6">
        <v>2.1226321948808735</v>
      </c>
      <c r="S146" s="6">
        <v>0.9565257534529541</v>
      </c>
      <c r="T146" s="6">
        <v>8.2112302275006606</v>
      </c>
      <c r="U146" s="5">
        <f t="shared" si="102"/>
        <v>75.196187782540079</v>
      </c>
      <c r="V146" s="6">
        <f>0.5*0.013</f>
        <v>6.4999999999999997E-3</v>
      </c>
      <c r="W146" s="6">
        <v>0.11200465291645169</v>
      </c>
      <c r="X146" s="6">
        <v>3.2600730663002821E-2</v>
      </c>
      <c r="Y146" s="6">
        <v>8.0072189468369498E-2</v>
      </c>
      <c r="Z146" s="6">
        <v>1.4072387936954478E-2</v>
      </c>
      <c r="AA146" s="6">
        <f>0.5*0.02</f>
        <v>0.01</v>
      </c>
      <c r="AB146" s="6">
        <v>1.6514954792030481E-2</v>
      </c>
      <c r="AC146" s="6" t="s">
        <v>395</v>
      </c>
      <c r="AD146" s="6" t="s">
        <v>395</v>
      </c>
      <c r="AE146" s="5">
        <f t="shared" si="87"/>
        <v>0.25769252783985452</v>
      </c>
      <c r="AF146" s="6">
        <f t="shared" si="106"/>
        <v>1.4999999999999999E-2</v>
      </c>
      <c r="AG146" s="250" t="s">
        <v>395</v>
      </c>
      <c r="AH146" s="253">
        <v>5.368318756073859</v>
      </c>
      <c r="AI146" s="6">
        <f t="shared" si="107"/>
        <v>0.1</v>
      </c>
      <c r="AJ146" s="6">
        <f t="shared" si="107"/>
        <v>0.1</v>
      </c>
      <c r="AK146" s="6">
        <f>0.5*0.02</f>
        <v>0.01</v>
      </c>
      <c r="AL146" s="6">
        <f t="shared" si="108"/>
        <v>0.05</v>
      </c>
      <c r="AM146" s="6">
        <f t="shared" si="108"/>
        <v>0.05</v>
      </c>
      <c r="AN146" s="6">
        <v>0.26694849368318763</v>
      </c>
      <c r="AO146" s="6">
        <v>9.3294460641399429E-2</v>
      </c>
      <c r="AP146" s="6">
        <f t="shared" si="109"/>
        <v>2.5000000000000001E-2</v>
      </c>
      <c r="AQ146" s="6">
        <v>7.6151603498542275E-2</v>
      </c>
      <c r="AR146" s="6">
        <f>0.5*0.05</f>
        <v>2.5000000000000001E-2</v>
      </c>
      <c r="AS146" s="5" t="s">
        <v>395</v>
      </c>
      <c r="AT146" s="5" t="s">
        <v>395</v>
      </c>
      <c r="AU146" s="5" t="s">
        <v>395</v>
      </c>
      <c r="AV146" s="5" t="s">
        <v>395</v>
      </c>
      <c r="AW146" s="5" t="s">
        <v>395</v>
      </c>
      <c r="AX146" s="5" t="s">
        <v>395</v>
      </c>
      <c r="AY146" s="5" t="s">
        <v>395</v>
      </c>
      <c r="AZ146" s="5" t="s">
        <v>395</v>
      </c>
      <c r="BA146" s="5" t="s">
        <v>395</v>
      </c>
      <c r="BB146" s="5" t="s">
        <v>395</v>
      </c>
      <c r="BC146" s="6">
        <v>109</v>
      </c>
      <c r="BD146" s="6">
        <f t="shared" si="110"/>
        <v>0.1</v>
      </c>
      <c r="BE146" s="6">
        <f t="shared" si="115"/>
        <v>0.05</v>
      </c>
      <c r="BF146" s="6">
        <v>0.69499999999999995</v>
      </c>
      <c r="BG146" s="6">
        <f t="shared" si="111"/>
        <v>0.1</v>
      </c>
      <c r="BH146" s="6">
        <v>0.28119681908548705</v>
      </c>
      <c r="BI146" s="6">
        <v>6.7965109343936376</v>
      </c>
      <c r="BJ146" s="6">
        <v>1.98</v>
      </c>
      <c r="BK146" s="6">
        <f t="shared" si="119"/>
        <v>2.5000000000000001E-2</v>
      </c>
      <c r="BL146" s="6">
        <v>2.8929025844930418</v>
      </c>
      <c r="BM146" s="6">
        <v>0.241831013916501</v>
      </c>
      <c r="BN146" s="6">
        <v>21</v>
      </c>
      <c r="BO146" s="6">
        <v>1.2145236651513172</v>
      </c>
      <c r="BP146" s="6">
        <v>0.89553904943832818</v>
      </c>
      <c r="BQ146" s="6">
        <v>0.30758130386348109</v>
      </c>
      <c r="BR146" s="6">
        <v>3.0280272724070523</v>
      </c>
      <c r="BS146" s="6">
        <f t="shared" si="112"/>
        <v>0.1</v>
      </c>
      <c r="BT146" s="6" t="s">
        <v>399</v>
      </c>
      <c r="BU146" s="6">
        <f t="shared" si="116"/>
        <v>1.25</v>
      </c>
      <c r="BV146" s="6">
        <f t="shared" si="117"/>
        <v>0.1</v>
      </c>
      <c r="BW146" s="6">
        <f t="shared" si="117"/>
        <v>0.1</v>
      </c>
      <c r="BX146" s="6">
        <v>1.5837381982123049</v>
      </c>
      <c r="BY146" s="6">
        <v>0.93085258534294002</v>
      </c>
      <c r="BZ146" s="6">
        <v>3.3816033005238704</v>
      </c>
      <c r="CA146" s="6">
        <f t="shared" si="114"/>
        <v>0.1</v>
      </c>
      <c r="CB146" s="6">
        <v>0.22565808572658203</v>
      </c>
      <c r="CC146" s="6">
        <f>0.5*0.2</f>
        <v>0.1</v>
      </c>
      <c r="CD146" s="6">
        <f>0.5*0.2</f>
        <v>0.1</v>
      </c>
      <c r="CE146" s="6">
        <v>0.54499501303601094</v>
      </c>
      <c r="CF146" s="6">
        <f t="shared" si="113"/>
        <v>0.1</v>
      </c>
      <c r="CG146" s="6">
        <f t="shared" si="113"/>
        <v>0.1</v>
      </c>
      <c r="CH146" s="6">
        <f t="shared" si="113"/>
        <v>0.1</v>
      </c>
      <c r="CI146" s="5" t="s">
        <v>395</v>
      </c>
      <c r="CJ146" s="5" t="s">
        <v>395</v>
      </c>
      <c r="CK146" s="5" t="s">
        <v>395</v>
      </c>
      <c r="CL146" s="5" t="s">
        <v>395</v>
      </c>
      <c r="CM146" s="5" t="s">
        <v>395</v>
      </c>
      <c r="CN146" s="5" t="s">
        <v>395</v>
      </c>
      <c r="CO146" s="5" t="s">
        <v>395</v>
      </c>
      <c r="CP146" s="5" t="s">
        <v>395</v>
      </c>
      <c r="CQ146" s="5" t="s">
        <v>395</v>
      </c>
      <c r="CR146" s="5" t="s">
        <v>395</v>
      </c>
      <c r="CS146" s="5" t="s">
        <v>395</v>
      </c>
      <c r="CT146" s="5" t="s">
        <v>395</v>
      </c>
      <c r="CU146" s="5" t="s">
        <v>395</v>
      </c>
      <c r="CV146" s="5" t="s">
        <v>395</v>
      </c>
      <c r="CW146" s="5" t="s">
        <v>395</v>
      </c>
      <c r="CX146" s="5" t="s">
        <v>395</v>
      </c>
      <c r="CY146" s="252" t="s">
        <v>395</v>
      </c>
    </row>
    <row r="147" spans="1:103" x14ac:dyDescent="0.3">
      <c r="A147" s="29" t="s">
        <v>81</v>
      </c>
      <c r="B147" s="50" t="s">
        <v>81</v>
      </c>
      <c r="C147" s="14" t="s">
        <v>20</v>
      </c>
      <c r="E147" s="12"/>
      <c r="F147" s="13"/>
      <c r="G147" s="4">
        <v>42964</v>
      </c>
      <c r="H147" s="1">
        <v>2017</v>
      </c>
      <c r="I147" s="126" t="s">
        <v>33</v>
      </c>
      <c r="J147" s="126">
        <v>10</v>
      </c>
      <c r="K147" s="251">
        <v>0.82981511136988539</v>
      </c>
      <c r="L147" s="5">
        <v>5.8032829261988059</v>
      </c>
      <c r="M147" s="6">
        <v>9.6332518337408315E-2</v>
      </c>
      <c r="N147" s="6">
        <v>0.19850855745721271</v>
      </c>
      <c r="O147" s="6">
        <v>0.60342298288508556</v>
      </c>
      <c r="P147" s="6">
        <v>0.49694865525672371</v>
      </c>
      <c r="Q147" s="6">
        <v>1.2166601466992664</v>
      </c>
      <c r="R147" s="6">
        <v>1.1225330073349633</v>
      </c>
      <c r="S147" s="6">
        <v>0.57712469437652814</v>
      </c>
      <c r="T147" s="6">
        <v>4.3115305623471887</v>
      </c>
      <c r="U147" s="5">
        <f t="shared" si="102"/>
        <v>22.984529052461038</v>
      </c>
      <c r="V147" s="6">
        <f>0.5*0.013</f>
        <v>6.4999999999999997E-3</v>
      </c>
      <c r="W147" s="6">
        <v>0.16390767365384104</v>
      </c>
      <c r="X147" s="6">
        <v>7.6315005839863906E-2</v>
      </c>
      <c r="Y147" s="6">
        <v>0.22087258579075278</v>
      </c>
      <c r="Z147" s="6">
        <v>2.2385735046360079E-2</v>
      </c>
      <c r="AA147" s="6">
        <v>6.2646140349434942E-2</v>
      </c>
      <c r="AB147" s="6">
        <v>4.0497829765687783E-2</v>
      </c>
      <c r="AC147" s="6" t="s">
        <v>395</v>
      </c>
      <c r="AD147" s="6" t="s">
        <v>395</v>
      </c>
      <c r="AE147" s="5">
        <f t="shared" si="87"/>
        <v>0.57073923539958049</v>
      </c>
      <c r="AF147" s="6">
        <v>0.03</v>
      </c>
      <c r="AG147" s="250">
        <f>(AF147/K147)*5</f>
        <v>0.18076315789474498</v>
      </c>
      <c r="AH147" s="253">
        <v>9.7039999999999988</v>
      </c>
      <c r="AI147" s="6">
        <f t="shared" si="107"/>
        <v>0.1</v>
      </c>
      <c r="AJ147" s="6">
        <f t="shared" si="107"/>
        <v>0.1</v>
      </c>
      <c r="AK147" s="6">
        <f>0.5*0.02</f>
        <v>0.01</v>
      </c>
      <c r="AL147" s="6">
        <f t="shared" si="108"/>
        <v>0.05</v>
      </c>
      <c r="AM147" s="6">
        <f t="shared" si="108"/>
        <v>0.05</v>
      </c>
      <c r="AN147" s="6">
        <v>1.96469</v>
      </c>
      <c r="AO147" s="6">
        <v>1.6240000000000001</v>
      </c>
      <c r="AP147" s="6">
        <f t="shared" si="109"/>
        <v>2.5000000000000001E-2</v>
      </c>
      <c r="AQ147" s="6">
        <v>1.7265599999999999</v>
      </c>
      <c r="AR147" s="6">
        <v>0.55840000000000001</v>
      </c>
      <c r="AS147" s="5" t="s">
        <v>395</v>
      </c>
      <c r="AT147" s="5" t="s">
        <v>395</v>
      </c>
      <c r="AU147" s="5" t="s">
        <v>395</v>
      </c>
      <c r="AV147" s="5" t="s">
        <v>395</v>
      </c>
      <c r="AW147" s="5" t="s">
        <v>395</v>
      </c>
      <c r="AX147" s="5" t="s">
        <v>395</v>
      </c>
      <c r="AY147" s="5" t="s">
        <v>395</v>
      </c>
      <c r="AZ147" s="5" t="s">
        <v>395</v>
      </c>
      <c r="BA147" s="5" t="s">
        <v>395</v>
      </c>
      <c r="BB147" s="5" t="s">
        <v>395</v>
      </c>
      <c r="BC147" s="6">
        <v>132</v>
      </c>
      <c r="BD147" s="6">
        <f t="shared" si="110"/>
        <v>0.1</v>
      </c>
      <c r="BE147" s="6">
        <f t="shared" si="115"/>
        <v>0.05</v>
      </c>
      <c r="BF147" s="6">
        <v>0.26100000000000001</v>
      </c>
      <c r="BG147" s="6">
        <f t="shared" si="111"/>
        <v>0.1</v>
      </c>
      <c r="BH147" s="6">
        <v>0.44500000000000001</v>
      </c>
      <c r="BI147" s="6">
        <v>20.437106374807989</v>
      </c>
      <c r="BJ147" s="6">
        <v>18.399999999999999</v>
      </c>
      <c r="BK147" s="6">
        <f t="shared" si="119"/>
        <v>2.5000000000000001E-2</v>
      </c>
      <c r="BL147" s="6">
        <v>16.407699692780337</v>
      </c>
      <c r="BM147" s="6">
        <v>4.5115994623655915</v>
      </c>
      <c r="BN147" s="6">
        <v>27</v>
      </c>
      <c r="BO147" s="6">
        <v>1.3611720482917833</v>
      </c>
      <c r="BP147" s="6">
        <v>1.6444438182484455</v>
      </c>
      <c r="BQ147" s="6">
        <v>9.7071580569010898</v>
      </c>
      <c r="BR147" s="6">
        <v>15.005279966887915</v>
      </c>
      <c r="BS147" s="6">
        <f t="shared" si="112"/>
        <v>0.1</v>
      </c>
      <c r="BT147" s="6">
        <v>2.0702666919764683</v>
      </c>
      <c r="BU147" s="6">
        <v>2.9984145867685736</v>
      </c>
      <c r="BV147" s="6">
        <v>0.29066590515646618</v>
      </c>
      <c r="BW147" s="6">
        <f>0.5*0.2</f>
        <v>0.1</v>
      </c>
      <c r="BX147" s="6">
        <v>2.4973528841141155</v>
      </c>
      <c r="BY147" s="6">
        <v>8.3150129123901717</v>
      </c>
      <c r="BZ147" s="6">
        <v>3.2680258926121724</v>
      </c>
      <c r="CA147" s="6">
        <f t="shared" si="114"/>
        <v>0.1</v>
      </c>
      <c r="CB147" s="6">
        <v>0.41465581003103635</v>
      </c>
      <c r="CC147" s="6">
        <v>40.090261065902574</v>
      </c>
      <c r="CD147" s="6">
        <v>0.30592828108136355</v>
      </c>
      <c r="CE147" s="6">
        <v>1.3980677827969616</v>
      </c>
      <c r="CF147" s="6">
        <f t="shared" si="113"/>
        <v>0.1</v>
      </c>
      <c r="CG147" s="6">
        <f t="shared" si="113"/>
        <v>0.1</v>
      </c>
      <c r="CH147" s="6">
        <f t="shared" si="113"/>
        <v>0.1</v>
      </c>
      <c r="CI147" s="5" t="s">
        <v>395</v>
      </c>
      <c r="CJ147" s="5" t="s">
        <v>395</v>
      </c>
      <c r="CK147" s="5" t="s">
        <v>395</v>
      </c>
      <c r="CL147" s="5" t="s">
        <v>395</v>
      </c>
      <c r="CM147" s="5" t="s">
        <v>395</v>
      </c>
      <c r="CN147" s="5" t="s">
        <v>395</v>
      </c>
      <c r="CO147" s="5" t="s">
        <v>395</v>
      </c>
      <c r="CP147" s="5" t="s">
        <v>395</v>
      </c>
      <c r="CQ147" s="5" t="s">
        <v>395</v>
      </c>
      <c r="CR147" s="5" t="s">
        <v>395</v>
      </c>
      <c r="CS147" s="5" t="s">
        <v>395</v>
      </c>
      <c r="CT147" s="5" t="s">
        <v>395</v>
      </c>
      <c r="CU147" s="5" t="s">
        <v>395</v>
      </c>
      <c r="CV147" s="5" t="s">
        <v>395</v>
      </c>
      <c r="CW147" s="5" t="s">
        <v>395</v>
      </c>
      <c r="CX147" s="5" t="s">
        <v>395</v>
      </c>
      <c r="CY147" s="252" t="s">
        <v>395</v>
      </c>
    </row>
    <row r="148" spans="1:103" x14ac:dyDescent="0.3">
      <c r="A148" s="29" t="s">
        <v>26</v>
      </c>
      <c r="B148" s="50" t="s">
        <v>26</v>
      </c>
      <c r="C148" s="14" t="s">
        <v>20</v>
      </c>
      <c r="E148" s="12"/>
      <c r="F148" s="13"/>
      <c r="G148" s="4">
        <v>42954</v>
      </c>
      <c r="H148" s="16">
        <v>2017</v>
      </c>
      <c r="I148" s="121" t="s">
        <v>33</v>
      </c>
      <c r="J148" s="121">
        <v>10</v>
      </c>
      <c r="K148" s="251">
        <v>0.43270805070873586</v>
      </c>
      <c r="L148" s="5">
        <v>8.1821929101401167</v>
      </c>
      <c r="M148" s="6">
        <v>5.03813286777543E-2</v>
      </c>
      <c r="N148" s="6">
        <v>8.2500229716070947E-2</v>
      </c>
      <c r="O148" s="6">
        <v>0.41545529725259583</v>
      </c>
      <c r="P148" s="6">
        <v>0.4735826518423229</v>
      </c>
      <c r="Q148" s="6">
        <v>1.0826380593586327</v>
      </c>
      <c r="R148" s="6">
        <v>1.0548470090967565</v>
      </c>
      <c r="S148" s="6">
        <v>0.47786455940457595</v>
      </c>
      <c r="T148" s="6">
        <v>3.6372691353487094</v>
      </c>
      <c r="U148" s="5">
        <f t="shared" si="102"/>
        <v>36.556824842114203</v>
      </c>
      <c r="V148" s="6">
        <f>0.5*0.013</f>
        <v>6.4999999999999997E-3</v>
      </c>
      <c r="W148" s="6">
        <v>2.2025394862093706E-2</v>
      </c>
      <c r="X148" s="6">
        <f>0.5*0.01</f>
        <v>5.0000000000000001E-3</v>
      </c>
      <c r="Y148" s="6">
        <v>2.2455996196163387E-2</v>
      </c>
      <c r="Z148" s="6">
        <f>0.5*0.013</f>
        <v>6.4999999999999997E-3</v>
      </c>
      <c r="AA148" s="6">
        <f>0.5*0.02</f>
        <v>0.01</v>
      </c>
      <c r="AB148" s="6">
        <f>0.5*0.013</f>
        <v>6.4999999999999997E-3</v>
      </c>
      <c r="AC148" s="6" t="s">
        <v>395</v>
      </c>
      <c r="AD148" s="6" t="s">
        <v>395</v>
      </c>
      <c r="AE148" s="5">
        <f t="shared" si="87"/>
        <v>7.2481391058257086E-2</v>
      </c>
      <c r="AF148" s="6">
        <f>0.5*0.03</f>
        <v>1.4999999999999999E-2</v>
      </c>
      <c r="AG148" s="250" t="s">
        <v>395</v>
      </c>
      <c r="AH148" s="253">
        <v>4.3474827245804546</v>
      </c>
      <c r="AI148" s="6">
        <f t="shared" si="107"/>
        <v>0.1</v>
      </c>
      <c r="AJ148" s="6">
        <f t="shared" si="107"/>
        <v>0.1</v>
      </c>
      <c r="AK148" s="6">
        <f>0.5*0.02</f>
        <v>0.01</v>
      </c>
      <c r="AL148" s="6">
        <f t="shared" si="108"/>
        <v>0.05</v>
      </c>
      <c r="AM148" s="6">
        <f t="shared" si="108"/>
        <v>0.05</v>
      </c>
      <c r="AN148" s="6">
        <v>0.14974333662388944</v>
      </c>
      <c r="AO148" s="6">
        <f>0.5*0.02</f>
        <v>0.01</v>
      </c>
      <c r="AP148" s="6">
        <f t="shared" si="109"/>
        <v>2.5000000000000001E-2</v>
      </c>
      <c r="AQ148" s="6">
        <v>9.1470878578479783E-2</v>
      </c>
      <c r="AR148" s="6">
        <f>0.5*0.05</f>
        <v>2.5000000000000001E-2</v>
      </c>
      <c r="AS148" s="5" t="s">
        <v>395</v>
      </c>
      <c r="AT148" s="5" t="s">
        <v>395</v>
      </c>
      <c r="AU148" s="5" t="s">
        <v>395</v>
      </c>
      <c r="AV148" s="5" t="s">
        <v>395</v>
      </c>
      <c r="AW148" s="5" t="s">
        <v>395</v>
      </c>
      <c r="AX148" s="5" t="s">
        <v>395</v>
      </c>
      <c r="AY148" s="5" t="s">
        <v>395</v>
      </c>
      <c r="AZ148" s="5" t="s">
        <v>395</v>
      </c>
      <c r="BA148" s="5" t="s">
        <v>395</v>
      </c>
      <c r="BB148" s="5" t="s">
        <v>395</v>
      </c>
      <c r="BC148" s="6">
        <v>91.4</v>
      </c>
      <c r="BD148" s="6">
        <f t="shared" si="110"/>
        <v>0.1</v>
      </c>
      <c r="BE148" s="6">
        <f t="shared" si="115"/>
        <v>0.05</v>
      </c>
      <c r="BF148" s="6">
        <v>0.40799999999999997</v>
      </c>
      <c r="BG148" s="6">
        <f t="shared" si="111"/>
        <v>0.1</v>
      </c>
      <c r="BH148" s="6">
        <v>0.53300000000000003</v>
      </c>
      <c r="BI148" s="6">
        <v>4.3335108868330066</v>
      </c>
      <c r="BJ148" s="6">
        <v>0.504</v>
      </c>
      <c r="BK148" s="6">
        <f t="shared" si="119"/>
        <v>2.5000000000000001E-2</v>
      </c>
      <c r="BL148" s="6">
        <v>2.8130641996075134</v>
      </c>
      <c r="BM148" s="6">
        <f>0.5*0.05</f>
        <v>2.5000000000000001E-2</v>
      </c>
      <c r="BN148" s="6">
        <v>40</v>
      </c>
      <c r="BO148" s="6">
        <v>0.76673258977894021</v>
      </c>
      <c r="BP148" s="6">
        <v>4.672681813702078E-2</v>
      </c>
      <c r="BQ148" s="6">
        <v>0.29004837542681988</v>
      </c>
      <c r="BR148" s="6">
        <v>2.948287810410855</v>
      </c>
      <c r="BS148" s="6">
        <f t="shared" si="112"/>
        <v>0.1</v>
      </c>
      <c r="BT148" s="6" t="s">
        <v>399</v>
      </c>
      <c r="BU148" s="6">
        <f>0.5*2.5</f>
        <v>1.25</v>
      </c>
      <c r="BV148" s="6">
        <f>0.5*0.2</f>
        <v>0.1</v>
      </c>
      <c r="BW148" s="6">
        <f>0.5*0.2</f>
        <v>0.1</v>
      </c>
      <c r="BX148" s="6">
        <v>0.85883562054246732</v>
      </c>
      <c r="BY148" s="6">
        <v>0.77377127161330528</v>
      </c>
      <c r="BZ148" s="6">
        <v>2.9813387349800138</v>
      </c>
      <c r="CA148" s="6">
        <f t="shared" si="114"/>
        <v>0.1</v>
      </c>
      <c r="CB148" s="6">
        <f>0.5*0.2</f>
        <v>0.1</v>
      </c>
      <c r="CC148" s="6">
        <f>0.5*0.2</f>
        <v>0.1</v>
      </c>
      <c r="CD148" s="6">
        <v>0.16991732975048457</v>
      </c>
      <c r="CE148" s="6">
        <v>0.54</v>
      </c>
      <c r="CF148" s="6">
        <f t="shared" si="113"/>
        <v>0.1</v>
      </c>
      <c r="CG148" s="6">
        <f t="shared" si="113"/>
        <v>0.1</v>
      </c>
      <c r="CH148" s="6">
        <f t="shared" si="113"/>
        <v>0.1</v>
      </c>
      <c r="CI148" s="5" t="s">
        <v>395</v>
      </c>
      <c r="CJ148" s="5" t="s">
        <v>395</v>
      </c>
      <c r="CK148" s="5" t="s">
        <v>395</v>
      </c>
      <c r="CL148" s="5" t="s">
        <v>395</v>
      </c>
      <c r="CM148" s="5" t="s">
        <v>395</v>
      </c>
      <c r="CN148" s="5" t="s">
        <v>395</v>
      </c>
      <c r="CO148" s="5" t="s">
        <v>395</v>
      </c>
      <c r="CP148" s="5" t="s">
        <v>395</v>
      </c>
      <c r="CQ148" s="5" t="s">
        <v>395</v>
      </c>
      <c r="CR148" s="5" t="s">
        <v>395</v>
      </c>
      <c r="CS148" s="5" t="s">
        <v>395</v>
      </c>
      <c r="CT148" s="5" t="s">
        <v>395</v>
      </c>
      <c r="CU148" s="5" t="s">
        <v>395</v>
      </c>
      <c r="CV148" s="5" t="s">
        <v>395</v>
      </c>
      <c r="CW148" s="5" t="s">
        <v>395</v>
      </c>
      <c r="CX148" s="5" t="s">
        <v>395</v>
      </c>
      <c r="CY148" s="252" t="s">
        <v>395</v>
      </c>
    </row>
    <row r="149" spans="1:103" x14ac:dyDescent="0.3">
      <c r="A149" s="29" t="s">
        <v>7</v>
      </c>
      <c r="B149" s="50" t="s">
        <v>7</v>
      </c>
      <c r="C149" s="14" t="s">
        <v>20</v>
      </c>
      <c r="E149" s="12"/>
      <c r="F149" s="13"/>
      <c r="G149" s="4">
        <v>42956</v>
      </c>
      <c r="H149" s="1">
        <v>2017</v>
      </c>
      <c r="I149" s="126" t="s">
        <v>33</v>
      </c>
      <c r="J149" s="126">
        <v>10</v>
      </c>
      <c r="K149" s="251">
        <v>0.46805819101833057</v>
      </c>
      <c r="L149" s="5">
        <v>3.1455884252680653</v>
      </c>
      <c r="M149" s="6">
        <v>7.6562804284323271E-2</v>
      </c>
      <c r="N149" s="6">
        <v>0.40957643622200585</v>
      </c>
      <c r="O149" s="6">
        <v>1.5403992210321324</v>
      </c>
      <c r="P149" s="6">
        <v>1.3516553067185979</v>
      </c>
      <c r="Q149" s="6">
        <v>3.1436757546251219</v>
      </c>
      <c r="R149" s="6">
        <v>2.7204284323271666</v>
      </c>
      <c r="S149" s="6">
        <v>1.2466309639727362</v>
      </c>
      <c r="T149" s="6">
        <v>10.488928919182083</v>
      </c>
      <c r="U149" s="5">
        <f t="shared" si="102"/>
        <v>97.608307981791555</v>
      </c>
      <c r="V149" s="6">
        <f>0.5*0.013</f>
        <v>6.4999999999999997E-3</v>
      </c>
      <c r="W149" s="6">
        <v>0.12084940924830651</v>
      </c>
      <c r="X149" s="6">
        <v>4.4641664891511834E-2</v>
      </c>
      <c r="Y149" s="6">
        <v>0.12377145078534192</v>
      </c>
      <c r="Z149" s="6">
        <f>0.5*0.013</f>
        <v>6.4999999999999997E-3</v>
      </c>
      <c r="AA149" s="6">
        <v>2.6555868919140128E-2</v>
      </c>
      <c r="AB149" s="6">
        <v>2.2398682882786458E-2</v>
      </c>
      <c r="AC149" s="6" t="s">
        <v>395</v>
      </c>
      <c r="AD149" s="6" t="s">
        <v>395</v>
      </c>
      <c r="AE149" s="5">
        <f t="shared" si="87"/>
        <v>0.34471707672708685</v>
      </c>
      <c r="AF149" s="6">
        <v>0.12</v>
      </c>
      <c r="AG149" s="250">
        <f>(AF149/K149)*5</f>
        <v>1.2818918918919253</v>
      </c>
      <c r="AH149" s="253">
        <v>11.090217203388498</v>
      </c>
      <c r="AI149" s="6">
        <f t="shared" si="107"/>
        <v>0.1</v>
      </c>
      <c r="AJ149" s="6">
        <f t="shared" si="107"/>
        <v>0.1</v>
      </c>
      <c r="AK149" s="6">
        <f>0.5*0.02</f>
        <v>0.01</v>
      </c>
      <c r="AL149" s="6">
        <f t="shared" si="108"/>
        <v>0.05</v>
      </c>
      <c r="AM149" s="6">
        <f t="shared" si="108"/>
        <v>0.05</v>
      </c>
      <c r="AN149" s="6">
        <v>1.6104819986012227</v>
      </c>
      <c r="AO149" s="6">
        <v>1.1080751882062645</v>
      </c>
      <c r="AP149" s="6">
        <f t="shared" si="109"/>
        <v>2.5000000000000001E-2</v>
      </c>
      <c r="AQ149" s="6">
        <v>0.90754027378314239</v>
      </c>
      <c r="AR149" s="6">
        <f>0.5*0.05</f>
        <v>2.5000000000000001E-2</v>
      </c>
      <c r="AS149" s="5" t="s">
        <v>395</v>
      </c>
      <c r="AT149" s="5" t="s">
        <v>395</v>
      </c>
      <c r="AU149" s="5" t="s">
        <v>395</v>
      </c>
      <c r="AV149" s="5" t="s">
        <v>395</v>
      </c>
      <c r="AW149" s="5" t="s">
        <v>395</v>
      </c>
      <c r="AX149" s="5" t="s">
        <v>395</v>
      </c>
      <c r="AY149" s="5" t="s">
        <v>395</v>
      </c>
      <c r="AZ149" s="5" t="s">
        <v>395</v>
      </c>
      <c r="BA149" s="5" t="s">
        <v>395</v>
      </c>
      <c r="BB149" s="5" t="s">
        <v>395</v>
      </c>
      <c r="BC149" s="6">
        <v>235</v>
      </c>
      <c r="BD149" s="6">
        <f t="shared" si="110"/>
        <v>0.1</v>
      </c>
      <c r="BE149" s="6">
        <f t="shared" si="115"/>
        <v>0.05</v>
      </c>
      <c r="BF149" s="6">
        <v>0.40799999999999997</v>
      </c>
      <c r="BG149" s="6">
        <f t="shared" si="111"/>
        <v>0.1</v>
      </c>
      <c r="BH149" s="6">
        <v>0.58099999999999996</v>
      </c>
      <c r="BI149" s="6">
        <v>26.279533630620588</v>
      </c>
      <c r="BJ149" s="6">
        <v>18.899999999999999</v>
      </c>
      <c r="BK149" s="6">
        <f t="shared" si="119"/>
        <v>2.5000000000000001E-2</v>
      </c>
      <c r="BL149" s="6">
        <v>14.762411742846524</v>
      </c>
      <c r="BM149" s="6">
        <v>0.42110925306577479</v>
      </c>
      <c r="BN149" s="6">
        <v>160</v>
      </c>
      <c r="BO149" s="6">
        <v>1.02959689227896</v>
      </c>
      <c r="BP149" s="6">
        <v>0.43569599142915366</v>
      </c>
      <c r="BQ149" s="6">
        <v>0.14792084186189128</v>
      </c>
      <c r="BR149" s="6">
        <v>2.4661024357520311</v>
      </c>
      <c r="BS149" s="6">
        <v>0.2216714311777937</v>
      </c>
      <c r="BT149" s="6">
        <v>1.9359517680412279</v>
      </c>
      <c r="BU149" s="6">
        <f>0.5*2.5</f>
        <v>1.25</v>
      </c>
      <c r="BV149" s="6">
        <f>0.5*0.2</f>
        <v>0.1</v>
      </c>
      <c r="BW149" s="6">
        <f>0.5*0.2</f>
        <v>0.1</v>
      </c>
      <c r="BX149" s="6">
        <v>1.6030273911431345</v>
      </c>
      <c r="BY149" s="6">
        <v>2.0619313969650945</v>
      </c>
      <c r="BZ149" s="6">
        <v>2.1148820418676868</v>
      </c>
      <c r="CA149" s="6">
        <f t="shared" si="114"/>
        <v>0.1</v>
      </c>
      <c r="CB149" s="6">
        <v>0.22514680442846036</v>
      </c>
      <c r="CC149" s="6">
        <v>10.00967189666185</v>
      </c>
      <c r="CD149" s="6">
        <v>0.22868096315545913</v>
      </c>
      <c r="CE149" s="6">
        <f>0.5*0.5</f>
        <v>0.25</v>
      </c>
      <c r="CF149" s="6">
        <f t="shared" si="113"/>
        <v>0.1</v>
      </c>
      <c r="CG149" s="6">
        <f t="shared" si="113"/>
        <v>0.1</v>
      </c>
      <c r="CH149" s="6">
        <f t="shared" si="113"/>
        <v>0.1</v>
      </c>
      <c r="CI149" s="5" t="s">
        <v>395</v>
      </c>
      <c r="CJ149" s="5" t="s">
        <v>395</v>
      </c>
      <c r="CK149" s="5" t="s">
        <v>395</v>
      </c>
      <c r="CL149" s="5" t="s">
        <v>395</v>
      </c>
      <c r="CM149" s="5" t="s">
        <v>395</v>
      </c>
      <c r="CN149" s="5" t="s">
        <v>395</v>
      </c>
      <c r="CO149" s="5" t="s">
        <v>395</v>
      </c>
      <c r="CP149" s="5" t="s">
        <v>395</v>
      </c>
      <c r="CQ149" s="5" t="s">
        <v>395</v>
      </c>
      <c r="CR149" s="5" t="s">
        <v>395</v>
      </c>
      <c r="CS149" s="5" t="s">
        <v>395</v>
      </c>
      <c r="CT149" s="5" t="s">
        <v>395</v>
      </c>
      <c r="CU149" s="5" t="s">
        <v>395</v>
      </c>
      <c r="CV149" s="5" t="s">
        <v>395</v>
      </c>
      <c r="CW149" s="5" t="s">
        <v>395</v>
      </c>
      <c r="CX149" s="5" t="s">
        <v>395</v>
      </c>
      <c r="CY149" s="252" t="s">
        <v>395</v>
      </c>
    </row>
    <row r="150" spans="1:103" x14ac:dyDescent="0.3">
      <c r="A150" s="26" t="s">
        <v>32</v>
      </c>
      <c r="B150" s="14" t="s">
        <v>32</v>
      </c>
      <c r="C150" s="14" t="s">
        <v>31</v>
      </c>
      <c r="G150" s="16" t="s">
        <v>31</v>
      </c>
      <c r="H150" s="16">
        <v>2016</v>
      </c>
      <c r="I150" s="126" t="s">
        <v>3</v>
      </c>
      <c r="J150" s="126" t="s">
        <v>395</v>
      </c>
      <c r="K150" s="251" t="s">
        <v>395</v>
      </c>
      <c r="L150" s="5" t="s">
        <v>395</v>
      </c>
      <c r="M150" s="5">
        <v>1.4999999999999999E-2</v>
      </c>
      <c r="N150" s="5">
        <v>2.3E-2</v>
      </c>
      <c r="O150" s="5">
        <v>0.01</v>
      </c>
      <c r="P150" s="5">
        <v>0.01</v>
      </c>
      <c r="Q150" s="5">
        <v>5.0000000000000001E-3</v>
      </c>
      <c r="R150" s="5">
        <v>0.01</v>
      </c>
      <c r="S150" s="5">
        <v>5.0000000000000001E-3</v>
      </c>
      <c r="T150" s="5" t="s">
        <v>395</v>
      </c>
      <c r="U150" s="5" t="s">
        <v>395</v>
      </c>
      <c r="V150" s="5">
        <v>1.2999999999999999E-2</v>
      </c>
      <c r="W150" s="5">
        <v>0.01</v>
      </c>
      <c r="X150" s="5">
        <v>1.2999999999999999E-2</v>
      </c>
      <c r="Y150" s="5">
        <v>1.4999999999999999E-2</v>
      </c>
      <c r="Z150" s="5">
        <v>0.01</v>
      </c>
      <c r="AA150" s="5">
        <v>0.02</v>
      </c>
      <c r="AB150" s="5">
        <v>1.2999999999999999E-2</v>
      </c>
      <c r="AC150" s="5">
        <v>0.1</v>
      </c>
      <c r="AD150" s="5" t="s">
        <v>395</v>
      </c>
      <c r="AE150" s="5">
        <f t="shared" si="87"/>
        <v>8.4000000000000005E-2</v>
      </c>
      <c r="AF150" s="5">
        <v>0.3</v>
      </c>
      <c r="AG150" s="250" t="s">
        <v>395</v>
      </c>
      <c r="AH150" s="250">
        <v>0.2</v>
      </c>
      <c r="AI150" s="5">
        <v>0.2</v>
      </c>
      <c r="AJ150" s="5">
        <v>0.2</v>
      </c>
      <c r="AK150" s="5">
        <v>0.02</v>
      </c>
      <c r="AL150" s="5">
        <v>0.1</v>
      </c>
      <c r="AM150" s="5">
        <v>0.1</v>
      </c>
      <c r="AN150" s="5">
        <v>0.1</v>
      </c>
      <c r="AO150" s="5">
        <v>0.02</v>
      </c>
      <c r="AP150" s="5">
        <v>0.05</v>
      </c>
      <c r="AQ150" s="5">
        <v>0.1</v>
      </c>
      <c r="AR150" s="5">
        <v>0.05</v>
      </c>
      <c r="AS150" s="5" t="s">
        <v>395</v>
      </c>
      <c r="AT150" s="5" t="s">
        <v>395</v>
      </c>
      <c r="AU150" s="5" t="s">
        <v>395</v>
      </c>
      <c r="AV150" s="5" t="s">
        <v>395</v>
      </c>
      <c r="AW150" s="5" t="s">
        <v>395</v>
      </c>
      <c r="AX150" s="5" t="s">
        <v>395</v>
      </c>
      <c r="AY150" s="5" t="s">
        <v>395</v>
      </c>
      <c r="AZ150" s="5" t="s">
        <v>395</v>
      </c>
      <c r="BA150" s="5" t="s">
        <v>395</v>
      </c>
      <c r="BB150" s="5" t="s">
        <v>395</v>
      </c>
      <c r="BC150" s="5">
        <v>0.2</v>
      </c>
      <c r="BD150" s="5">
        <v>0.2</v>
      </c>
      <c r="BE150" s="5">
        <v>0.21</v>
      </c>
      <c r="BF150" s="5">
        <v>0.02</v>
      </c>
      <c r="BG150" s="5">
        <v>0.2</v>
      </c>
      <c r="BH150" s="5">
        <v>0.05</v>
      </c>
      <c r="BI150" s="5">
        <v>0.1</v>
      </c>
      <c r="BJ150" s="5">
        <v>0.1</v>
      </c>
      <c r="BK150" s="5">
        <v>0.05</v>
      </c>
      <c r="BL150" s="5">
        <v>0.1</v>
      </c>
      <c r="BM150" s="5">
        <v>0.05</v>
      </c>
      <c r="BN150" s="5">
        <v>0.03</v>
      </c>
      <c r="BO150" s="5" t="s">
        <v>395</v>
      </c>
      <c r="BP150" s="5" t="s">
        <v>395</v>
      </c>
      <c r="BQ150" s="5" t="s">
        <v>395</v>
      </c>
      <c r="BR150" s="5" t="s">
        <v>395</v>
      </c>
      <c r="BS150" s="5" t="s">
        <v>395</v>
      </c>
      <c r="BT150" s="5" t="s">
        <v>395</v>
      </c>
      <c r="BU150" s="5" t="s">
        <v>395</v>
      </c>
      <c r="BV150" s="5" t="s">
        <v>395</v>
      </c>
      <c r="BW150" s="5" t="s">
        <v>395</v>
      </c>
      <c r="BX150" s="5" t="s">
        <v>395</v>
      </c>
      <c r="BY150" s="5" t="s">
        <v>395</v>
      </c>
      <c r="BZ150" s="5" t="s">
        <v>395</v>
      </c>
      <c r="CA150" s="5" t="s">
        <v>395</v>
      </c>
      <c r="CB150" s="5" t="s">
        <v>395</v>
      </c>
      <c r="CC150" s="5" t="s">
        <v>395</v>
      </c>
      <c r="CD150" s="5" t="s">
        <v>395</v>
      </c>
      <c r="CE150" s="5" t="s">
        <v>395</v>
      </c>
      <c r="CF150" s="5" t="s">
        <v>395</v>
      </c>
      <c r="CG150" s="5" t="s">
        <v>395</v>
      </c>
      <c r="CH150" s="5" t="s">
        <v>395</v>
      </c>
      <c r="CI150" s="5" t="s">
        <v>395</v>
      </c>
      <c r="CJ150" s="5" t="s">
        <v>395</v>
      </c>
      <c r="CK150" s="5" t="s">
        <v>395</v>
      </c>
      <c r="CL150" s="5" t="s">
        <v>395</v>
      </c>
      <c r="CM150" s="5" t="s">
        <v>395</v>
      </c>
      <c r="CN150" s="5" t="s">
        <v>395</v>
      </c>
      <c r="CO150" s="5" t="s">
        <v>395</v>
      </c>
      <c r="CP150" s="5" t="s">
        <v>395</v>
      </c>
      <c r="CQ150" s="5" t="s">
        <v>395</v>
      </c>
      <c r="CR150" s="5" t="s">
        <v>395</v>
      </c>
      <c r="CS150" s="5" t="s">
        <v>395</v>
      </c>
      <c r="CT150" s="5" t="s">
        <v>395</v>
      </c>
      <c r="CU150" s="5" t="s">
        <v>395</v>
      </c>
      <c r="CV150" s="5" t="s">
        <v>395</v>
      </c>
      <c r="CW150" s="5" t="s">
        <v>395</v>
      </c>
      <c r="CX150" s="5" t="s">
        <v>395</v>
      </c>
      <c r="CY150" s="252" t="s">
        <v>395</v>
      </c>
    </row>
    <row r="151" spans="1:103" x14ac:dyDescent="0.3">
      <c r="A151" s="26" t="s">
        <v>21</v>
      </c>
      <c r="B151" s="14" t="s">
        <v>21</v>
      </c>
      <c r="C151" s="14" t="s">
        <v>20</v>
      </c>
      <c r="G151" s="22">
        <v>42614</v>
      </c>
      <c r="H151" s="16">
        <v>2016</v>
      </c>
      <c r="I151" s="121" t="s">
        <v>33</v>
      </c>
      <c r="J151" s="121">
        <v>10</v>
      </c>
      <c r="K151" s="251">
        <v>0.66067168287758504</v>
      </c>
      <c r="L151" s="5">
        <v>2.8733346589779099</v>
      </c>
      <c r="M151" s="5">
        <f>0.5*0.015</f>
        <v>7.4999999999999997E-3</v>
      </c>
      <c r="N151" s="5">
        <v>0.13023213306525316</v>
      </c>
      <c r="O151" s="5">
        <v>1.297569000182782</v>
      </c>
      <c r="P151" s="5">
        <v>1.0118351306890878</v>
      </c>
      <c r="Q151" s="5">
        <v>5.6161181518598653</v>
      </c>
      <c r="R151" s="5">
        <v>4.4733788756080939</v>
      </c>
      <c r="S151" s="5">
        <v>1.9288064339243283</v>
      </c>
      <c r="T151" s="5">
        <v>14.45793972532941</v>
      </c>
      <c r="U151" s="5">
        <f t="shared" si="102"/>
        <v>101.81762699471658</v>
      </c>
      <c r="V151" s="5">
        <f>0.5*0.011</f>
        <v>5.4999999999999997E-3</v>
      </c>
      <c r="W151" s="5">
        <v>0.2511431386121587</v>
      </c>
      <c r="X151" s="5">
        <v>8.5350901242628369E-2</v>
      </c>
      <c r="Y151" s="5">
        <v>6.2817256224294335E-2</v>
      </c>
      <c r="Z151" s="5">
        <v>2.1274782168147783E-2</v>
      </c>
      <c r="AA151" s="5">
        <v>4.6955584311947463E-2</v>
      </c>
      <c r="AB151" s="5">
        <v>1.2840401071899843E-2</v>
      </c>
      <c r="AC151" s="5">
        <f t="shared" ref="AC151:AC159" si="120">0.5*0.1</f>
        <v>0.05</v>
      </c>
      <c r="AD151" s="5">
        <v>0.480382063631076</v>
      </c>
      <c r="AE151" s="5">
        <f t="shared" si="87"/>
        <v>0.46460728146292868</v>
      </c>
      <c r="AF151" s="5">
        <f t="shared" ref="AF151:AF157" si="121">0.5*0.1</f>
        <v>0.05</v>
      </c>
      <c r="AG151" s="250" t="s">
        <v>395</v>
      </c>
      <c r="AH151" s="250">
        <v>19.739661185849528</v>
      </c>
      <c r="AI151" s="5">
        <f t="shared" ref="AI151:AI163" si="122">0.5*0.5</f>
        <v>0.25</v>
      </c>
      <c r="AJ151" s="5">
        <f t="shared" ref="AJ151:AJ163" si="123">0.5*0.2</f>
        <v>0.1</v>
      </c>
      <c r="AK151" s="5">
        <f t="shared" ref="AK151:AK163" si="124">0.5*0.02</f>
        <v>0.01</v>
      </c>
      <c r="AL151" s="5">
        <f t="shared" ref="AL151:AM163" si="125">0.5*0.1</f>
        <v>0.05</v>
      </c>
      <c r="AM151" s="5">
        <f t="shared" si="125"/>
        <v>0.05</v>
      </c>
      <c r="AN151" s="5">
        <v>0.70112938050157791</v>
      </c>
      <c r="AO151" s="5">
        <v>0.67796047168244478</v>
      </c>
      <c r="AP151" s="5">
        <f t="shared" ref="AP151:AP163" si="126">0.5*0.05</f>
        <v>2.5000000000000001E-2</v>
      </c>
      <c r="AQ151" s="5">
        <v>0.39760837070254113</v>
      </c>
      <c r="AR151" s="5">
        <f>0.5*0.05</f>
        <v>2.5000000000000001E-2</v>
      </c>
      <c r="AS151" s="5" t="s">
        <v>395</v>
      </c>
      <c r="AT151" s="5" t="s">
        <v>395</v>
      </c>
      <c r="AU151" s="5" t="s">
        <v>395</v>
      </c>
      <c r="AV151" s="5" t="s">
        <v>395</v>
      </c>
      <c r="AW151" s="5" t="s">
        <v>395</v>
      </c>
      <c r="AX151" s="5" t="s">
        <v>395</v>
      </c>
      <c r="AY151" s="5" t="s">
        <v>395</v>
      </c>
      <c r="AZ151" s="5" t="s">
        <v>395</v>
      </c>
      <c r="BA151" s="5" t="s">
        <v>395</v>
      </c>
      <c r="BB151" s="5" t="s">
        <v>395</v>
      </c>
      <c r="BC151" s="5">
        <v>320</v>
      </c>
      <c r="BD151" s="5">
        <f t="shared" ref="BD151:BD163" si="127">0.5*0.3</f>
        <v>0.15</v>
      </c>
      <c r="BE151" s="5">
        <f t="shared" ref="BE151:BE163" si="128">0.5*0.1</f>
        <v>0.05</v>
      </c>
      <c r="BF151" s="5">
        <v>8.8244978597299975E-2</v>
      </c>
      <c r="BG151" s="5">
        <f t="shared" ref="BG151:BG163" si="129">0.5*0.2</f>
        <v>0.1</v>
      </c>
      <c r="BH151" s="5">
        <v>0.2446493249917682</v>
      </c>
      <c r="BI151" s="5">
        <v>8.4818077049720113</v>
      </c>
      <c r="BJ151" s="5">
        <v>7.0003292723081998</v>
      </c>
      <c r="BK151" s="5">
        <f t="shared" ref="BK151:BK163" si="130">0.5*0.05</f>
        <v>2.5000000000000001E-2</v>
      </c>
      <c r="BL151" s="5">
        <v>6.4260783668093504</v>
      </c>
      <c r="BM151" s="5">
        <v>0.25384425419822187</v>
      </c>
      <c r="BN151" s="5">
        <v>100</v>
      </c>
      <c r="BO151" s="5" t="s">
        <v>395</v>
      </c>
      <c r="BP151" s="5" t="s">
        <v>395</v>
      </c>
      <c r="BQ151" s="5" t="s">
        <v>395</v>
      </c>
      <c r="BR151" s="5" t="s">
        <v>395</v>
      </c>
      <c r="BS151" s="5" t="s">
        <v>395</v>
      </c>
      <c r="BT151" s="5" t="s">
        <v>395</v>
      </c>
      <c r="BU151" s="5" t="s">
        <v>395</v>
      </c>
      <c r="BV151" s="5" t="s">
        <v>395</v>
      </c>
      <c r="BW151" s="5" t="s">
        <v>395</v>
      </c>
      <c r="BX151" s="5" t="s">
        <v>395</v>
      </c>
      <c r="BY151" s="5" t="s">
        <v>395</v>
      </c>
      <c r="BZ151" s="5" t="s">
        <v>395</v>
      </c>
      <c r="CA151" s="5" t="s">
        <v>395</v>
      </c>
      <c r="CB151" s="5" t="s">
        <v>395</v>
      </c>
      <c r="CC151" s="5" t="s">
        <v>395</v>
      </c>
      <c r="CD151" s="5" t="s">
        <v>395</v>
      </c>
      <c r="CE151" s="5" t="s">
        <v>395</v>
      </c>
      <c r="CF151" s="5" t="s">
        <v>395</v>
      </c>
      <c r="CG151" s="5" t="s">
        <v>395</v>
      </c>
      <c r="CH151" s="5" t="s">
        <v>395</v>
      </c>
      <c r="CI151" s="5" t="s">
        <v>395</v>
      </c>
      <c r="CJ151" s="5" t="s">
        <v>395</v>
      </c>
      <c r="CK151" s="5" t="s">
        <v>395</v>
      </c>
      <c r="CL151" s="5" t="s">
        <v>395</v>
      </c>
      <c r="CM151" s="5" t="s">
        <v>395</v>
      </c>
      <c r="CN151" s="5" t="s">
        <v>395</v>
      </c>
      <c r="CO151" s="5" t="s">
        <v>395</v>
      </c>
      <c r="CP151" s="5" t="s">
        <v>395</v>
      </c>
      <c r="CQ151" s="5" t="s">
        <v>395</v>
      </c>
      <c r="CR151" s="5" t="s">
        <v>395</v>
      </c>
      <c r="CS151" s="5" t="s">
        <v>395</v>
      </c>
      <c r="CT151" s="5" t="s">
        <v>395</v>
      </c>
      <c r="CU151" s="5" t="s">
        <v>395</v>
      </c>
      <c r="CV151" s="5" t="s">
        <v>395</v>
      </c>
      <c r="CW151" s="5" t="s">
        <v>395</v>
      </c>
      <c r="CX151" s="5" t="s">
        <v>395</v>
      </c>
      <c r="CY151" s="252" t="s">
        <v>395</v>
      </c>
    </row>
    <row r="152" spans="1:103" x14ac:dyDescent="0.3">
      <c r="A152" s="26" t="s">
        <v>22</v>
      </c>
      <c r="B152" s="14" t="s">
        <v>22</v>
      </c>
      <c r="C152" s="14" t="s">
        <v>20</v>
      </c>
      <c r="G152" s="22">
        <v>42622</v>
      </c>
      <c r="H152" s="16">
        <v>2016</v>
      </c>
      <c r="I152" s="121" t="s">
        <v>33</v>
      </c>
      <c r="J152" s="121">
        <v>10</v>
      </c>
      <c r="K152" s="251">
        <v>0.77300741669277995</v>
      </c>
      <c r="L152" s="5">
        <v>3.0766619279000098</v>
      </c>
      <c r="M152" s="5">
        <v>0.12132208709297765</v>
      </c>
      <c r="N152" s="5">
        <v>1.2118477834444881</v>
      </c>
      <c r="O152" s="5">
        <v>4.4219616338628036</v>
      </c>
      <c r="P152" s="5">
        <v>3.2032687649718539</v>
      </c>
      <c r="Q152" s="5">
        <v>9.3394304210469503</v>
      </c>
      <c r="R152" s="5">
        <v>7.8275574323083426</v>
      </c>
      <c r="S152" s="5">
        <v>2.7995292271479011</v>
      </c>
      <c r="T152" s="5">
        <v>28.924917349875319</v>
      </c>
      <c r="U152" s="5">
        <f t="shared" si="102"/>
        <v>166.37387966437936</v>
      </c>
      <c r="V152" s="5">
        <f>0.5*0.012</f>
        <v>6.0000000000000001E-3</v>
      </c>
      <c r="W152" s="5">
        <v>0.19571812144278775</v>
      </c>
      <c r="X152" s="5">
        <v>7.7131717232803432E-2</v>
      </c>
      <c r="Y152" s="5">
        <v>0.15874111842481453</v>
      </c>
      <c r="Z152" s="5">
        <v>2.9321607861908423E-2</v>
      </c>
      <c r="AA152" s="5">
        <v>5.1421144821868957E-2</v>
      </c>
      <c r="AB152" s="5">
        <v>3.2065994804648619E-2</v>
      </c>
      <c r="AC152" s="5">
        <f t="shared" si="120"/>
        <v>0.05</v>
      </c>
      <c r="AD152" s="5">
        <v>0.54439970458883169</v>
      </c>
      <c r="AE152" s="5">
        <f t="shared" si="87"/>
        <v>0.52107809672692329</v>
      </c>
      <c r="AF152" s="5">
        <f t="shared" si="121"/>
        <v>0.05</v>
      </c>
      <c r="AG152" s="250" t="s">
        <v>395</v>
      </c>
      <c r="AH152" s="250">
        <v>5.9728672696162306</v>
      </c>
      <c r="AI152" s="5">
        <f t="shared" si="122"/>
        <v>0.25</v>
      </c>
      <c r="AJ152" s="5">
        <f t="shared" si="123"/>
        <v>0.1</v>
      </c>
      <c r="AK152" s="5">
        <f t="shared" si="124"/>
        <v>0.01</v>
      </c>
      <c r="AL152" s="5">
        <f t="shared" si="125"/>
        <v>0.05</v>
      </c>
      <c r="AM152" s="5">
        <f t="shared" si="125"/>
        <v>0.05</v>
      </c>
      <c r="AN152" s="5">
        <v>0.23816507781308563</v>
      </c>
      <c r="AO152" s="5">
        <v>0.12336022162470464</v>
      </c>
      <c r="AP152" s="5">
        <f t="shared" si="126"/>
        <v>2.5000000000000001E-2</v>
      </c>
      <c r="AQ152" s="5">
        <v>0.21494337162877858</v>
      </c>
      <c r="AR152" s="5">
        <v>0.122</v>
      </c>
      <c r="AS152" s="5" t="s">
        <v>395</v>
      </c>
      <c r="AT152" s="5" t="s">
        <v>395</v>
      </c>
      <c r="AU152" s="5" t="s">
        <v>395</v>
      </c>
      <c r="AV152" s="5" t="s">
        <v>395</v>
      </c>
      <c r="AW152" s="5" t="s">
        <v>395</v>
      </c>
      <c r="AX152" s="5" t="s">
        <v>395</v>
      </c>
      <c r="AY152" s="5" t="s">
        <v>395</v>
      </c>
      <c r="AZ152" s="5" t="s">
        <v>395</v>
      </c>
      <c r="BA152" s="5" t="s">
        <v>395</v>
      </c>
      <c r="BB152" s="5" t="s">
        <v>395</v>
      </c>
      <c r="BC152" s="5">
        <v>130</v>
      </c>
      <c r="BD152" s="5">
        <f t="shared" si="127"/>
        <v>0.15</v>
      </c>
      <c r="BE152" s="5">
        <f t="shared" si="128"/>
        <v>0.05</v>
      </c>
      <c r="BF152" s="5">
        <v>8.4673255642425158E-2</v>
      </c>
      <c r="BG152" s="5">
        <f t="shared" si="129"/>
        <v>0.1</v>
      </c>
      <c r="BH152" s="5">
        <v>0.50685941879333241</v>
      </c>
      <c r="BI152" s="5">
        <v>4.4724148104440182</v>
      </c>
      <c r="BJ152" s="5">
        <v>1.8911343856025964</v>
      </c>
      <c r="BK152" s="5">
        <f t="shared" si="130"/>
        <v>2.5000000000000001E-2</v>
      </c>
      <c r="BL152" s="5">
        <v>4.9907065938929049</v>
      </c>
      <c r="BM152" s="5">
        <v>0.99304469685794383</v>
      </c>
      <c r="BN152" s="5">
        <v>120</v>
      </c>
      <c r="BO152" s="5" t="s">
        <v>395</v>
      </c>
      <c r="BP152" s="5" t="s">
        <v>395</v>
      </c>
      <c r="BQ152" s="5" t="s">
        <v>395</v>
      </c>
      <c r="BR152" s="5" t="s">
        <v>395</v>
      </c>
      <c r="BS152" s="5" t="s">
        <v>395</v>
      </c>
      <c r="BT152" s="5" t="s">
        <v>395</v>
      </c>
      <c r="BU152" s="5" t="s">
        <v>395</v>
      </c>
      <c r="BV152" s="5" t="s">
        <v>395</v>
      </c>
      <c r="BW152" s="5" t="s">
        <v>395</v>
      </c>
      <c r="BX152" s="5" t="s">
        <v>395</v>
      </c>
      <c r="BY152" s="5" t="s">
        <v>395</v>
      </c>
      <c r="BZ152" s="5" t="s">
        <v>395</v>
      </c>
      <c r="CA152" s="5" t="s">
        <v>395</v>
      </c>
      <c r="CB152" s="5" t="s">
        <v>395</v>
      </c>
      <c r="CC152" s="5" t="s">
        <v>395</v>
      </c>
      <c r="CD152" s="5" t="s">
        <v>395</v>
      </c>
      <c r="CE152" s="5" t="s">
        <v>395</v>
      </c>
      <c r="CF152" s="5" t="s">
        <v>395</v>
      </c>
      <c r="CG152" s="5" t="s">
        <v>395</v>
      </c>
      <c r="CH152" s="5" t="s">
        <v>395</v>
      </c>
      <c r="CI152" s="5" t="s">
        <v>395</v>
      </c>
      <c r="CJ152" s="5" t="s">
        <v>395</v>
      </c>
      <c r="CK152" s="5" t="s">
        <v>395</v>
      </c>
      <c r="CL152" s="5" t="s">
        <v>395</v>
      </c>
      <c r="CM152" s="5" t="s">
        <v>395</v>
      </c>
      <c r="CN152" s="5" t="s">
        <v>395</v>
      </c>
      <c r="CO152" s="5" t="s">
        <v>395</v>
      </c>
      <c r="CP152" s="5" t="s">
        <v>395</v>
      </c>
      <c r="CQ152" s="5" t="s">
        <v>395</v>
      </c>
      <c r="CR152" s="5" t="s">
        <v>395</v>
      </c>
      <c r="CS152" s="5" t="s">
        <v>395</v>
      </c>
      <c r="CT152" s="5" t="s">
        <v>395</v>
      </c>
      <c r="CU152" s="5" t="s">
        <v>395</v>
      </c>
      <c r="CV152" s="5" t="s">
        <v>395</v>
      </c>
      <c r="CW152" s="5" t="s">
        <v>395</v>
      </c>
      <c r="CX152" s="5" t="s">
        <v>395</v>
      </c>
      <c r="CY152" s="252" t="s">
        <v>395</v>
      </c>
    </row>
    <row r="153" spans="1:103" x14ac:dyDescent="0.3">
      <c r="A153" s="26" t="s">
        <v>23</v>
      </c>
      <c r="B153" s="14" t="s">
        <v>23</v>
      </c>
      <c r="C153" s="14" t="s">
        <v>20</v>
      </c>
      <c r="G153" s="22">
        <v>42627</v>
      </c>
      <c r="H153" s="16">
        <v>2016</v>
      </c>
      <c r="I153" s="121" t="s">
        <v>33</v>
      </c>
      <c r="J153" s="121">
        <v>10</v>
      </c>
      <c r="K153" s="251">
        <v>0.71662571662572006</v>
      </c>
      <c r="L153" s="5">
        <v>3.1573743713192699</v>
      </c>
      <c r="M153" s="5">
        <v>0.3024430523827647</v>
      </c>
      <c r="N153" s="5">
        <v>1.7931659333722441</v>
      </c>
      <c r="O153" s="5">
        <v>6.4924432824580691</v>
      </c>
      <c r="P153" s="5">
        <v>4.7824289781256848</v>
      </c>
      <c r="Q153" s="5">
        <v>9.8990612258406614</v>
      </c>
      <c r="R153" s="5">
        <v>8.6676067013755986</v>
      </c>
      <c r="S153" s="5">
        <v>3.5683876039350384</v>
      </c>
      <c r="T153" s="5">
        <v>35.505536777490057</v>
      </c>
      <c r="U153" s="5">
        <f t="shared" si="102"/>
        <v>214.35951213156412</v>
      </c>
      <c r="V153" s="5">
        <f>0.5*0.012</f>
        <v>6.0000000000000001E-3</v>
      </c>
      <c r="W153" s="5">
        <v>5.8149948861757832E-2</v>
      </c>
      <c r="X153" s="5">
        <v>1.7721482106999017E-2</v>
      </c>
      <c r="Y153" s="5">
        <v>1.8086875371105329E-2</v>
      </c>
      <c r="Z153" s="5">
        <f>0.5*0.012</f>
        <v>6.0000000000000001E-3</v>
      </c>
      <c r="AA153" s="5">
        <v>2.0214889958979045E-2</v>
      </c>
      <c r="AB153" s="5">
        <v>3.3030907942994653E-2</v>
      </c>
      <c r="AC153" s="5">
        <f t="shared" si="120"/>
        <v>0.05</v>
      </c>
      <c r="AD153" s="5">
        <v>0.14720410424183586</v>
      </c>
      <c r="AE153" s="5">
        <f t="shared" si="87"/>
        <v>0.15320410424183586</v>
      </c>
      <c r="AF153" s="5">
        <f t="shared" si="121"/>
        <v>0.05</v>
      </c>
      <c r="AG153" s="250" t="s">
        <v>395</v>
      </c>
      <c r="AH153" s="250">
        <v>7.2426350245499185</v>
      </c>
      <c r="AI153" s="5">
        <f t="shared" si="122"/>
        <v>0.25</v>
      </c>
      <c r="AJ153" s="5">
        <f t="shared" si="123"/>
        <v>0.1</v>
      </c>
      <c r="AK153" s="5">
        <f t="shared" si="124"/>
        <v>0.01</v>
      </c>
      <c r="AL153" s="5">
        <f t="shared" si="125"/>
        <v>0.05</v>
      </c>
      <c r="AM153" s="5">
        <f t="shared" si="125"/>
        <v>0.05</v>
      </c>
      <c r="AN153" s="5">
        <v>0.57144026186579377</v>
      </c>
      <c r="AO153" s="5">
        <v>0.25973813420621927</v>
      </c>
      <c r="AP153" s="5">
        <f t="shared" si="126"/>
        <v>2.5000000000000001E-2</v>
      </c>
      <c r="AQ153" s="5">
        <v>0.54893617021276597</v>
      </c>
      <c r="AR153" s="5">
        <v>7.6972176759410801E-2</v>
      </c>
      <c r="AS153" s="5" t="s">
        <v>395</v>
      </c>
      <c r="AT153" s="5" t="s">
        <v>395</v>
      </c>
      <c r="AU153" s="5" t="s">
        <v>395</v>
      </c>
      <c r="AV153" s="5" t="s">
        <v>395</v>
      </c>
      <c r="AW153" s="5" t="s">
        <v>395</v>
      </c>
      <c r="AX153" s="5" t="s">
        <v>395</v>
      </c>
      <c r="AY153" s="5" t="s">
        <v>395</v>
      </c>
      <c r="AZ153" s="5" t="s">
        <v>395</v>
      </c>
      <c r="BA153" s="5" t="s">
        <v>395</v>
      </c>
      <c r="BB153" s="5" t="s">
        <v>395</v>
      </c>
      <c r="BC153" s="5">
        <v>120</v>
      </c>
      <c r="BD153" s="5">
        <f t="shared" si="127"/>
        <v>0.15</v>
      </c>
      <c r="BE153" s="5">
        <f t="shared" si="128"/>
        <v>0.05</v>
      </c>
      <c r="BF153" s="5">
        <v>0.19066286528866713</v>
      </c>
      <c r="BG153" s="5">
        <f t="shared" si="129"/>
        <v>0.1</v>
      </c>
      <c r="BH153" s="5">
        <v>0.5659301496792587</v>
      </c>
      <c r="BI153" s="5">
        <v>9.3226122594440479</v>
      </c>
      <c r="BJ153" s="5">
        <v>2.622950819672131</v>
      </c>
      <c r="BK153" s="5">
        <f t="shared" si="130"/>
        <v>2.5000000000000001E-2</v>
      </c>
      <c r="BL153" s="5">
        <v>10.786172487526729</v>
      </c>
      <c r="BM153" s="5">
        <v>0.37630969351389876</v>
      </c>
      <c r="BN153" s="5">
        <v>550</v>
      </c>
      <c r="BO153" s="5" t="s">
        <v>395</v>
      </c>
      <c r="BP153" s="5" t="s">
        <v>395</v>
      </c>
      <c r="BQ153" s="5" t="s">
        <v>395</v>
      </c>
      <c r="BR153" s="5" t="s">
        <v>395</v>
      </c>
      <c r="BS153" s="5" t="s">
        <v>395</v>
      </c>
      <c r="BT153" s="5" t="s">
        <v>395</v>
      </c>
      <c r="BU153" s="5" t="s">
        <v>395</v>
      </c>
      <c r="BV153" s="5" t="s">
        <v>395</v>
      </c>
      <c r="BW153" s="5" t="s">
        <v>395</v>
      </c>
      <c r="BX153" s="5" t="s">
        <v>395</v>
      </c>
      <c r="BY153" s="5" t="s">
        <v>395</v>
      </c>
      <c r="BZ153" s="5" t="s">
        <v>395</v>
      </c>
      <c r="CA153" s="5" t="s">
        <v>395</v>
      </c>
      <c r="CB153" s="5" t="s">
        <v>395</v>
      </c>
      <c r="CC153" s="5" t="s">
        <v>395</v>
      </c>
      <c r="CD153" s="5" t="s">
        <v>395</v>
      </c>
      <c r="CE153" s="5" t="s">
        <v>395</v>
      </c>
      <c r="CF153" s="5" t="s">
        <v>395</v>
      </c>
      <c r="CG153" s="5" t="s">
        <v>395</v>
      </c>
      <c r="CH153" s="5" t="s">
        <v>395</v>
      </c>
      <c r="CI153" s="5" t="s">
        <v>395</v>
      </c>
      <c r="CJ153" s="5" t="s">
        <v>395</v>
      </c>
      <c r="CK153" s="5" t="s">
        <v>395</v>
      </c>
      <c r="CL153" s="5" t="s">
        <v>395</v>
      </c>
      <c r="CM153" s="5" t="s">
        <v>395</v>
      </c>
      <c r="CN153" s="5" t="s">
        <v>395</v>
      </c>
      <c r="CO153" s="5" t="s">
        <v>395</v>
      </c>
      <c r="CP153" s="5" t="s">
        <v>395</v>
      </c>
      <c r="CQ153" s="5" t="s">
        <v>395</v>
      </c>
      <c r="CR153" s="5" t="s">
        <v>395</v>
      </c>
      <c r="CS153" s="5" t="s">
        <v>395</v>
      </c>
      <c r="CT153" s="5" t="s">
        <v>395</v>
      </c>
      <c r="CU153" s="5" t="s">
        <v>395</v>
      </c>
      <c r="CV153" s="5" t="s">
        <v>395</v>
      </c>
      <c r="CW153" s="5" t="s">
        <v>395</v>
      </c>
      <c r="CX153" s="5" t="s">
        <v>395</v>
      </c>
      <c r="CY153" s="252" t="s">
        <v>395</v>
      </c>
    </row>
    <row r="154" spans="1:103" x14ac:dyDescent="0.3">
      <c r="A154" s="26" t="s">
        <v>112</v>
      </c>
      <c r="B154" s="14" t="s">
        <v>24</v>
      </c>
      <c r="C154" s="14" t="s">
        <v>20</v>
      </c>
      <c r="G154" s="22">
        <v>42628</v>
      </c>
      <c r="H154" s="16">
        <v>2016</v>
      </c>
      <c r="I154" s="121" t="s">
        <v>33</v>
      </c>
      <c r="J154" s="121">
        <v>10</v>
      </c>
      <c r="K154" s="251">
        <v>0.86699695121952303</v>
      </c>
      <c r="L154" s="5">
        <v>2.6028627668316702</v>
      </c>
      <c r="M154" s="5">
        <v>0.6131520940484938</v>
      </c>
      <c r="N154" s="5">
        <v>1.5917523879500368</v>
      </c>
      <c r="O154" s="5">
        <v>5.4773144746509921</v>
      </c>
      <c r="P154" s="5">
        <v>4.5570352681851576</v>
      </c>
      <c r="Q154" s="5">
        <v>9.7462750652746166</v>
      </c>
      <c r="R154" s="5">
        <v>8.2110250757482994</v>
      </c>
      <c r="S154" s="5">
        <v>2.4138501102130787</v>
      </c>
      <c r="T154" s="5">
        <v>32.610404476070677</v>
      </c>
      <c r="U154" s="5">
        <f t="shared" si="102"/>
        <v>161.78470505822128</v>
      </c>
      <c r="V154" s="5">
        <f>0.5*0.011</f>
        <v>5.4999999999999997E-3</v>
      </c>
      <c r="W154" s="5">
        <v>0.13278378205448788</v>
      </c>
      <c r="X154" s="5">
        <v>4.4649858232545088E-2</v>
      </c>
      <c r="Y154" s="5">
        <v>3.7305364580716524E-2</v>
      </c>
      <c r="Z154" s="5">
        <f>0.5*0.011</f>
        <v>5.4999999999999997E-3</v>
      </c>
      <c r="AA154" s="5">
        <f>0.5*0.018</f>
        <v>8.9999999999999993E-3</v>
      </c>
      <c r="AB154" s="5">
        <v>1.6437676268378217E-2</v>
      </c>
      <c r="AC154" s="5">
        <f t="shared" si="120"/>
        <v>0.05</v>
      </c>
      <c r="AD154" s="5">
        <v>0.23117668113612772</v>
      </c>
      <c r="AE154" s="5">
        <f t="shared" si="87"/>
        <v>0.24567668113612773</v>
      </c>
      <c r="AF154" s="5">
        <f t="shared" si="121"/>
        <v>0.05</v>
      </c>
      <c r="AG154" s="250" t="s">
        <v>395</v>
      </c>
      <c r="AH154" s="250">
        <v>3.9796431264136722</v>
      </c>
      <c r="AI154" s="5">
        <f t="shared" si="122"/>
        <v>0.25</v>
      </c>
      <c r="AJ154" s="5">
        <f t="shared" si="123"/>
        <v>0.1</v>
      </c>
      <c r="AK154" s="5">
        <f t="shared" si="124"/>
        <v>0.01</v>
      </c>
      <c r="AL154" s="5">
        <f t="shared" si="125"/>
        <v>0.05</v>
      </c>
      <c r="AM154" s="5">
        <f t="shared" si="125"/>
        <v>0.05</v>
      </c>
      <c r="AN154" s="5">
        <v>0.34372120298232389</v>
      </c>
      <c r="AO154" s="5">
        <v>8.49459663231968E-2</v>
      </c>
      <c r="AP154" s="5">
        <f t="shared" si="126"/>
        <v>2.5000000000000001E-2</v>
      </c>
      <c r="AQ154" s="5">
        <v>0.26958197201977047</v>
      </c>
      <c r="AR154" s="5">
        <v>5.6597134958532289E-2</v>
      </c>
      <c r="AS154" s="5" t="s">
        <v>395</v>
      </c>
      <c r="AT154" s="5" t="s">
        <v>395</v>
      </c>
      <c r="AU154" s="5" t="s">
        <v>395</v>
      </c>
      <c r="AV154" s="5" t="s">
        <v>395</v>
      </c>
      <c r="AW154" s="5" t="s">
        <v>395</v>
      </c>
      <c r="AX154" s="5" t="s">
        <v>395</v>
      </c>
      <c r="AY154" s="5" t="s">
        <v>395</v>
      </c>
      <c r="AZ154" s="5" t="s">
        <v>395</v>
      </c>
      <c r="BA154" s="5" t="s">
        <v>395</v>
      </c>
      <c r="BB154" s="5" t="s">
        <v>395</v>
      </c>
      <c r="BC154" s="5">
        <v>58.777171969967824</v>
      </c>
      <c r="BD154" s="5">
        <f t="shared" si="127"/>
        <v>0.15</v>
      </c>
      <c r="BE154" s="5">
        <f t="shared" si="128"/>
        <v>0.05</v>
      </c>
      <c r="BF154" s="5">
        <v>0.12477654629960672</v>
      </c>
      <c r="BG154" s="5">
        <f t="shared" si="129"/>
        <v>0.1</v>
      </c>
      <c r="BH154" s="5">
        <v>0.31212012870933137</v>
      </c>
      <c r="BI154" s="5">
        <v>3.3640507686807295</v>
      </c>
      <c r="BJ154" s="5">
        <v>0.99928494815874136</v>
      </c>
      <c r="BK154" s="5">
        <f t="shared" si="130"/>
        <v>2.5000000000000001E-2</v>
      </c>
      <c r="BL154" s="5">
        <v>3.1519485162674297</v>
      </c>
      <c r="BM154" s="5">
        <v>0.37573292813728992</v>
      </c>
      <c r="BN154" s="5">
        <v>180</v>
      </c>
      <c r="BO154" s="5" t="s">
        <v>395</v>
      </c>
      <c r="BP154" s="5" t="s">
        <v>395</v>
      </c>
      <c r="BQ154" s="5" t="s">
        <v>395</v>
      </c>
      <c r="BR154" s="5" t="s">
        <v>395</v>
      </c>
      <c r="BS154" s="5" t="s">
        <v>395</v>
      </c>
      <c r="BT154" s="5" t="s">
        <v>395</v>
      </c>
      <c r="BU154" s="5" t="s">
        <v>395</v>
      </c>
      <c r="BV154" s="5" t="s">
        <v>395</v>
      </c>
      <c r="BW154" s="5" t="s">
        <v>395</v>
      </c>
      <c r="BX154" s="5" t="s">
        <v>395</v>
      </c>
      <c r="BY154" s="5" t="s">
        <v>395</v>
      </c>
      <c r="BZ154" s="5" t="s">
        <v>395</v>
      </c>
      <c r="CA154" s="5" t="s">
        <v>395</v>
      </c>
      <c r="CB154" s="5" t="s">
        <v>395</v>
      </c>
      <c r="CC154" s="5" t="s">
        <v>395</v>
      </c>
      <c r="CD154" s="5" t="s">
        <v>395</v>
      </c>
      <c r="CE154" s="5" t="s">
        <v>395</v>
      </c>
      <c r="CF154" s="5" t="s">
        <v>395</v>
      </c>
      <c r="CG154" s="5" t="s">
        <v>395</v>
      </c>
      <c r="CH154" s="5" t="s">
        <v>395</v>
      </c>
      <c r="CI154" s="5" t="s">
        <v>395</v>
      </c>
      <c r="CJ154" s="5" t="s">
        <v>395</v>
      </c>
      <c r="CK154" s="5" t="s">
        <v>395</v>
      </c>
      <c r="CL154" s="5" t="s">
        <v>395</v>
      </c>
      <c r="CM154" s="5" t="s">
        <v>395</v>
      </c>
      <c r="CN154" s="5" t="s">
        <v>395</v>
      </c>
      <c r="CO154" s="5" t="s">
        <v>395</v>
      </c>
      <c r="CP154" s="5" t="s">
        <v>395</v>
      </c>
      <c r="CQ154" s="5" t="s">
        <v>395</v>
      </c>
      <c r="CR154" s="5" t="s">
        <v>395</v>
      </c>
      <c r="CS154" s="5" t="s">
        <v>395</v>
      </c>
      <c r="CT154" s="5" t="s">
        <v>395</v>
      </c>
      <c r="CU154" s="5" t="s">
        <v>395</v>
      </c>
      <c r="CV154" s="5" t="s">
        <v>395</v>
      </c>
      <c r="CW154" s="5" t="s">
        <v>395</v>
      </c>
      <c r="CX154" s="5" t="s">
        <v>395</v>
      </c>
      <c r="CY154" s="252" t="s">
        <v>395</v>
      </c>
    </row>
    <row r="155" spans="1:103" x14ac:dyDescent="0.3">
      <c r="A155" s="26" t="s">
        <v>5</v>
      </c>
      <c r="B155" s="14" t="s">
        <v>5</v>
      </c>
      <c r="C155" s="14" t="s">
        <v>20</v>
      </c>
      <c r="G155" s="22">
        <v>42618</v>
      </c>
      <c r="H155" s="16">
        <v>2016</v>
      </c>
      <c r="I155" s="121" t="s">
        <v>33</v>
      </c>
      <c r="J155" s="121">
        <v>10</v>
      </c>
      <c r="K155" s="251">
        <v>0.87816695265973299</v>
      </c>
      <c r="L155" s="5">
        <v>3.8339464762316702</v>
      </c>
      <c r="M155" s="5">
        <v>0.41313978697332454</v>
      </c>
      <c r="N155" s="5">
        <v>1.2746724479215761</v>
      </c>
      <c r="O155" s="5">
        <v>4.0666415307757564</v>
      </c>
      <c r="P155" s="5">
        <v>3.5572516004659125</v>
      </c>
      <c r="Q155" s="5">
        <v>6.2800051138069506</v>
      </c>
      <c r="R155" s="5">
        <v>5.7288372456901753</v>
      </c>
      <c r="S155" s="5">
        <v>1.5359600339334529</v>
      </c>
      <c r="T155" s="5">
        <v>22.856507759567148</v>
      </c>
      <c r="U155" s="5">
        <f t="shared" si="102"/>
        <v>109.88375331506697</v>
      </c>
      <c r="V155" s="5">
        <f>0.5*0.012</f>
        <v>6.0000000000000001E-3</v>
      </c>
      <c r="W155" s="5">
        <v>0.18480389189407989</v>
      </c>
      <c r="X155" s="5">
        <v>6.6627344567112487E-2</v>
      </c>
      <c r="Y155" s="5">
        <v>0.11688781725797104</v>
      </c>
      <c r="Z155" s="5">
        <f>0.5*0.012</f>
        <v>6.0000000000000001E-3</v>
      </c>
      <c r="AA155" s="5">
        <v>3.6213314938798091E-2</v>
      </c>
      <c r="AB155" s="5">
        <v>6.7013963587811406E-2</v>
      </c>
      <c r="AC155" s="5">
        <f t="shared" si="120"/>
        <v>0.05</v>
      </c>
      <c r="AD155" s="5">
        <v>0.47154633224577291</v>
      </c>
      <c r="AE155" s="5">
        <f t="shared" si="87"/>
        <v>0.47754633224577292</v>
      </c>
      <c r="AF155" s="5">
        <f t="shared" si="121"/>
        <v>0.05</v>
      </c>
      <c r="AG155" s="250" t="s">
        <v>395</v>
      </c>
      <c r="AH155" s="250">
        <v>9.6906600844016246</v>
      </c>
      <c r="AI155" s="5">
        <f t="shared" si="122"/>
        <v>0.25</v>
      </c>
      <c r="AJ155" s="5">
        <f t="shared" si="123"/>
        <v>0.1</v>
      </c>
      <c r="AK155" s="5">
        <f t="shared" si="124"/>
        <v>0.01</v>
      </c>
      <c r="AL155" s="5">
        <f t="shared" si="125"/>
        <v>0.05</v>
      </c>
      <c r="AM155" s="5">
        <f t="shared" si="125"/>
        <v>0.05</v>
      </c>
      <c r="AN155" s="5">
        <v>0.54168325503622894</v>
      </c>
      <c r="AO155" s="5">
        <v>0.25352336969503936</v>
      </c>
      <c r="AP155" s="5">
        <f t="shared" si="126"/>
        <v>2.5000000000000001E-2</v>
      </c>
      <c r="AQ155" s="5">
        <v>0.35177960028664701</v>
      </c>
      <c r="AR155" s="5">
        <v>6.4941476232184089E-2</v>
      </c>
      <c r="AS155" s="5" t="s">
        <v>395</v>
      </c>
      <c r="AT155" s="5" t="s">
        <v>395</v>
      </c>
      <c r="AU155" s="5" t="s">
        <v>395</v>
      </c>
      <c r="AV155" s="5" t="s">
        <v>395</v>
      </c>
      <c r="AW155" s="5" t="s">
        <v>395</v>
      </c>
      <c r="AX155" s="5" t="s">
        <v>395</v>
      </c>
      <c r="AY155" s="5" t="s">
        <v>395</v>
      </c>
      <c r="AZ155" s="5" t="s">
        <v>395</v>
      </c>
      <c r="BA155" s="5" t="s">
        <v>395</v>
      </c>
      <c r="BB155" s="5" t="s">
        <v>395</v>
      </c>
      <c r="BC155" s="5">
        <v>130</v>
      </c>
      <c r="BD155" s="5">
        <f t="shared" si="127"/>
        <v>0.15</v>
      </c>
      <c r="BE155" s="5">
        <f t="shared" si="128"/>
        <v>0.05</v>
      </c>
      <c r="BF155" s="5">
        <v>0.51915740587162051</v>
      </c>
      <c r="BG155" s="5">
        <f t="shared" si="129"/>
        <v>0.1</v>
      </c>
      <c r="BH155" s="5">
        <v>0.48034499917067514</v>
      </c>
      <c r="BI155" s="5">
        <v>6.106899983413502</v>
      </c>
      <c r="BJ155" s="5">
        <v>3.9011444684027201</v>
      </c>
      <c r="BK155" s="5">
        <f t="shared" si="130"/>
        <v>2.5000000000000001E-2</v>
      </c>
      <c r="BL155" s="5">
        <v>5.5783712058384474</v>
      </c>
      <c r="BM155" s="5">
        <v>0.43819041300381489</v>
      </c>
      <c r="BN155" s="5">
        <v>79</v>
      </c>
      <c r="BO155" s="5" t="s">
        <v>395</v>
      </c>
      <c r="BP155" s="5" t="s">
        <v>395</v>
      </c>
      <c r="BQ155" s="5" t="s">
        <v>395</v>
      </c>
      <c r="BR155" s="5" t="s">
        <v>395</v>
      </c>
      <c r="BS155" s="5" t="s">
        <v>395</v>
      </c>
      <c r="BT155" s="5" t="s">
        <v>395</v>
      </c>
      <c r="BU155" s="5" t="s">
        <v>395</v>
      </c>
      <c r="BV155" s="5" t="s">
        <v>395</v>
      </c>
      <c r="BW155" s="5" t="s">
        <v>395</v>
      </c>
      <c r="BX155" s="5" t="s">
        <v>395</v>
      </c>
      <c r="BY155" s="5" t="s">
        <v>395</v>
      </c>
      <c r="BZ155" s="5" t="s">
        <v>395</v>
      </c>
      <c r="CA155" s="5" t="s">
        <v>395</v>
      </c>
      <c r="CB155" s="5" t="s">
        <v>395</v>
      </c>
      <c r="CC155" s="5" t="s">
        <v>395</v>
      </c>
      <c r="CD155" s="5" t="s">
        <v>395</v>
      </c>
      <c r="CE155" s="5" t="s">
        <v>395</v>
      </c>
      <c r="CF155" s="5" t="s">
        <v>395</v>
      </c>
      <c r="CG155" s="5" t="s">
        <v>395</v>
      </c>
      <c r="CH155" s="5" t="s">
        <v>395</v>
      </c>
      <c r="CI155" s="5" t="s">
        <v>395</v>
      </c>
      <c r="CJ155" s="5" t="s">
        <v>395</v>
      </c>
      <c r="CK155" s="5" t="s">
        <v>395</v>
      </c>
      <c r="CL155" s="5" t="s">
        <v>395</v>
      </c>
      <c r="CM155" s="5" t="s">
        <v>395</v>
      </c>
      <c r="CN155" s="5" t="s">
        <v>395</v>
      </c>
      <c r="CO155" s="5" t="s">
        <v>395</v>
      </c>
      <c r="CP155" s="5" t="s">
        <v>395</v>
      </c>
      <c r="CQ155" s="5" t="s">
        <v>395</v>
      </c>
      <c r="CR155" s="5" t="s">
        <v>395</v>
      </c>
      <c r="CS155" s="5" t="s">
        <v>395</v>
      </c>
      <c r="CT155" s="5" t="s">
        <v>395</v>
      </c>
      <c r="CU155" s="5" t="s">
        <v>395</v>
      </c>
      <c r="CV155" s="5" t="s">
        <v>395</v>
      </c>
      <c r="CW155" s="5" t="s">
        <v>395</v>
      </c>
      <c r="CX155" s="5" t="s">
        <v>395</v>
      </c>
      <c r="CY155" s="252" t="s">
        <v>395</v>
      </c>
    </row>
    <row r="156" spans="1:103" x14ac:dyDescent="0.3">
      <c r="A156" s="26" t="s">
        <v>25</v>
      </c>
      <c r="B156" s="14" t="s">
        <v>25</v>
      </c>
      <c r="C156" s="14" t="s">
        <v>20</v>
      </c>
      <c r="G156" s="22">
        <v>42614</v>
      </c>
      <c r="H156" s="16">
        <v>2016</v>
      </c>
      <c r="I156" s="121" t="s">
        <v>33</v>
      </c>
      <c r="J156" s="121">
        <v>10</v>
      </c>
      <c r="K156" s="251">
        <v>0.78</v>
      </c>
      <c r="L156" s="5">
        <v>3.4751201893744899</v>
      </c>
      <c r="M156" s="5">
        <f>0.5*0.015</f>
        <v>7.4999999999999997E-3</v>
      </c>
      <c r="N156" s="5">
        <v>9.2588990468780386E-2</v>
      </c>
      <c r="O156" s="5">
        <v>0.60153666601828437</v>
      </c>
      <c r="P156" s="5">
        <v>0.48599494261816767</v>
      </c>
      <c r="Q156" s="5">
        <v>2.1393697724178176</v>
      </c>
      <c r="R156" s="5">
        <v>1.6382999416455941</v>
      </c>
      <c r="S156" s="5">
        <v>1.0202295273293134</v>
      </c>
      <c r="T156" s="5">
        <v>5.9780198404979572</v>
      </c>
      <c r="U156" s="5">
        <f t="shared" si="102"/>
        <v>35.253364729998644</v>
      </c>
      <c r="V156" s="5">
        <f>0.5*0.012</f>
        <v>6.0000000000000001E-3</v>
      </c>
      <c r="W156" s="5">
        <v>0.10290584877190584</v>
      </c>
      <c r="X156" s="5">
        <v>3.6896214685725341E-2</v>
      </c>
      <c r="Y156" s="5">
        <f>0.5*0.015</f>
        <v>7.4999999999999997E-3</v>
      </c>
      <c r="Z156" s="5">
        <f>0.5*0.012</f>
        <v>6.0000000000000001E-3</v>
      </c>
      <c r="AA156" s="5">
        <v>3.2284187850009673E-2</v>
      </c>
      <c r="AB156" s="5">
        <v>3.0842929463848527E-2</v>
      </c>
      <c r="AC156" s="5">
        <f t="shared" si="120"/>
        <v>0.05</v>
      </c>
      <c r="AD156" s="5">
        <v>0.20292918077148939</v>
      </c>
      <c r="AE156" s="5">
        <f t="shared" si="87"/>
        <v>0.2164291807714894</v>
      </c>
      <c r="AF156" s="5">
        <f t="shared" si="121"/>
        <v>0.05</v>
      </c>
      <c r="AG156" s="250" t="s">
        <v>395</v>
      </c>
      <c r="AH156" s="250">
        <v>25.741143317230275</v>
      </c>
      <c r="AI156" s="5">
        <f t="shared" si="122"/>
        <v>0.25</v>
      </c>
      <c r="AJ156" s="5">
        <f t="shared" si="123"/>
        <v>0.1</v>
      </c>
      <c r="AK156" s="5">
        <f t="shared" si="124"/>
        <v>0.01</v>
      </c>
      <c r="AL156" s="5">
        <f t="shared" si="125"/>
        <v>0.05</v>
      </c>
      <c r="AM156" s="5">
        <f t="shared" si="125"/>
        <v>0.05</v>
      </c>
      <c r="AN156" s="5">
        <v>1.0735104669887281</v>
      </c>
      <c r="AO156" s="5">
        <v>0.62431561996779394</v>
      </c>
      <c r="AP156" s="5">
        <f t="shared" si="126"/>
        <v>2.5000000000000001E-2</v>
      </c>
      <c r="AQ156" s="5">
        <v>0.65442834138486305</v>
      </c>
      <c r="AR156" s="5">
        <f>0.5*0.05</f>
        <v>2.5000000000000001E-2</v>
      </c>
      <c r="AS156" s="5" t="s">
        <v>395</v>
      </c>
      <c r="AT156" s="5" t="s">
        <v>395</v>
      </c>
      <c r="AU156" s="5" t="s">
        <v>395</v>
      </c>
      <c r="AV156" s="5" t="s">
        <v>395</v>
      </c>
      <c r="AW156" s="5" t="s">
        <v>395</v>
      </c>
      <c r="AX156" s="5" t="s">
        <v>395</v>
      </c>
      <c r="AY156" s="5" t="s">
        <v>395</v>
      </c>
      <c r="AZ156" s="5" t="s">
        <v>395</v>
      </c>
      <c r="BA156" s="5" t="s">
        <v>395</v>
      </c>
      <c r="BB156" s="5" t="s">
        <v>395</v>
      </c>
      <c r="BC156" s="5">
        <v>400.44162249705528</v>
      </c>
      <c r="BD156" s="5">
        <f t="shared" si="127"/>
        <v>0.15</v>
      </c>
      <c r="BE156" s="5">
        <f t="shared" si="128"/>
        <v>0.05</v>
      </c>
      <c r="BF156" s="5">
        <v>0.31654888103651352</v>
      </c>
      <c r="BG156" s="5">
        <f t="shared" si="129"/>
        <v>0.1</v>
      </c>
      <c r="BH156" s="5">
        <v>0.49705535924617195</v>
      </c>
      <c r="BI156" s="5">
        <v>11.383760306242637</v>
      </c>
      <c r="BJ156" s="5">
        <v>6.4958775029446416</v>
      </c>
      <c r="BK156" s="5">
        <f t="shared" si="130"/>
        <v>2.5000000000000001E-2</v>
      </c>
      <c r="BL156" s="5">
        <v>6.159010600706714</v>
      </c>
      <c r="BM156" s="5">
        <v>0.17400618374558302</v>
      </c>
      <c r="BN156" s="5">
        <v>140</v>
      </c>
      <c r="BO156" s="5" t="s">
        <v>395</v>
      </c>
      <c r="BP156" s="5" t="s">
        <v>395</v>
      </c>
      <c r="BQ156" s="5" t="s">
        <v>395</v>
      </c>
      <c r="BR156" s="5" t="s">
        <v>395</v>
      </c>
      <c r="BS156" s="5" t="s">
        <v>395</v>
      </c>
      <c r="BT156" s="5" t="s">
        <v>395</v>
      </c>
      <c r="BU156" s="5" t="s">
        <v>395</v>
      </c>
      <c r="BV156" s="5" t="s">
        <v>395</v>
      </c>
      <c r="BW156" s="5" t="s">
        <v>395</v>
      </c>
      <c r="BX156" s="5" t="s">
        <v>395</v>
      </c>
      <c r="BY156" s="5" t="s">
        <v>395</v>
      </c>
      <c r="BZ156" s="5" t="s">
        <v>395</v>
      </c>
      <c r="CA156" s="5" t="s">
        <v>395</v>
      </c>
      <c r="CB156" s="5" t="s">
        <v>395</v>
      </c>
      <c r="CC156" s="5" t="s">
        <v>395</v>
      </c>
      <c r="CD156" s="5" t="s">
        <v>395</v>
      </c>
      <c r="CE156" s="5" t="s">
        <v>395</v>
      </c>
      <c r="CF156" s="5" t="s">
        <v>395</v>
      </c>
      <c r="CG156" s="5" t="s">
        <v>395</v>
      </c>
      <c r="CH156" s="5" t="s">
        <v>395</v>
      </c>
      <c r="CI156" s="5" t="s">
        <v>395</v>
      </c>
      <c r="CJ156" s="5" t="s">
        <v>395</v>
      </c>
      <c r="CK156" s="5" t="s">
        <v>395</v>
      </c>
      <c r="CL156" s="5" t="s">
        <v>395</v>
      </c>
      <c r="CM156" s="5" t="s">
        <v>395</v>
      </c>
      <c r="CN156" s="5" t="s">
        <v>395</v>
      </c>
      <c r="CO156" s="5" t="s">
        <v>395</v>
      </c>
      <c r="CP156" s="5" t="s">
        <v>395</v>
      </c>
      <c r="CQ156" s="5" t="s">
        <v>395</v>
      </c>
      <c r="CR156" s="5" t="s">
        <v>395</v>
      </c>
      <c r="CS156" s="5" t="s">
        <v>395</v>
      </c>
      <c r="CT156" s="5" t="s">
        <v>395</v>
      </c>
      <c r="CU156" s="5" t="s">
        <v>395</v>
      </c>
      <c r="CV156" s="5" t="s">
        <v>395</v>
      </c>
      <c r="CW156" s="5" t="s">
        <v>395</v>
      </c>
      <c r="CX156" s="5" t="s">
        <v>395</v>
      </c>
      <c r="CY156" s="252" t="s">
        <v>395</v>
      </c>
    </row>
    <row r="157" spans="1:103" x14ac:dyDescent="0.3">
      <c r="A157" s="26" t="s">
        <v>26</v>
      </c>
      <c r="B157" s="14" t="s">
        <v>26</v>
      </c>
      <c r="C157" s="14" t="s">
        <v>20</v>
      </c>
      <c r="G157" s="22">
        <v>42578</v>
      </c>
      <c r="H157" s="16">
        <v>2016</v>
      </c>
      <c r="I157" s="121" t="s">
        <v>33</v>
      </c>
      <c r="J157" s="121">
        <v>10</v>
      </c>
      <c r="K157" s="251">
        <v>0.72761784245490901</v>
      </c>
      <c r="L157" s="5">
        <v>4.60380932337159</v>
      </c>
      <c r="M157" s="5">
        <f>0.5*0.015</f>
        <v>7.4999999999999997E-3</v>
      </c>
      <c r="N157" s="5">
        <v>6.9868073878627979E-2</v>
      </c>
      <c r="O157" s="5">
        <v>0.17878627968337732</v>
      </c>
      <c r="P157" s="5">
        <v>0.13646437994722954</v>
      </c>
      <c r="Q157" s="5">
        <v>0.36928759894459107</v>
      </c>
      <c r="R157" s="5">
        <v>0.32147757255936676</v>
      </c>
      <c r="S157" s="5">
        <v>0.27313984168865435</v>
      </c>
      <c r="T157" s="5">
        <v>1.3490237467018471</v>
      </c>
      <c r="U157" s="5">
        <f t="shared" si="102"/>
        <v>8.3839296919813062</v>
      </c>
      <c r="V157" s="5">
        <f>0.5*0.012</f>
        <v>6.0000000000000001E-3</v>
      </c>
      <c r="W157" s="5">
        <f>0.5*0.01</f>
        <v>5.0000000000000001E-3</v>
      </c>
      <c r="X157" s="5">
        <f>0.5*0.01</f>
        <v>5.0000000000000001E-3</v>
      </c>
      <c r="Y157" s="5">
        <f>0.5*0.015</f>
        <v>7.4999999999999997E-3</v>
      </c>
      <c r="Z157" s="5">
        <v>1.6173615936354916E-2</v>
      </c>
      <c r="AA157" s="5">
        <f>0.5*0.02</f>
        <v>0.01</v>
      </c>
      <c r="AB157" s="5">
        <v>5.5213378541349549E-2</v>
      </c>
      <c r="AC157" s="5">
        <f t="shared" si="120"/>
        <v>0.05</v>
      </c>
      <c r="AD157" s="5">
        <v>7.1386994477704468E-2</v>
      </c>
      <c r="AE157" s="5">
        <f t="shared" si="87"/>
        <v>8.8713378541349544E-2</v>
      </c>
      <c r="AF157" s="5">
        <f t="shared" si="121"/>
        <v>0.05</v>
      </c>
      <c r="AG157" s="250" t="s">
        <v>395</v>
      </c>
      <c r="AH157" s="250">
        <v>1.7408253268231217</v>
      </c>
      <c r="AI157" s="5">
        <f t="shared" si="122"/>
        <v>0.25</v>
      </c>
      <c r="AJ157" s="5">
        <f t="shared" si="123"/>
        <v>0.1</v>
      </c>
      <c r="AK157" s="5">
        <f t="shared" si="124"/>
        <v>0.01</v>
      </c>
      <c r="AL157" s="5">
        <f t="shared" si="125"/>
        <v>0.05</v>
      </c>
      <c r="AM157" s="5">
        <f t="shared" si="125"/>
        <v>0.05</v>
      </c>
      <c r="AN157" s="5">
        <v>0.18451724681052134</v>
      </c>
      <c r="AO157" s="5">
        <f>0.5*0.02</f>
        <v>0.01</v>
      </c>
      <c r="AP157" s="5">
        <f t="shared" si="126"/>
        <v>2.5000000000000001E-2</v>
      </c>
      <c r="AQ157" s="5">
        <f>0.5*0.1</f>
        <v>0.05</v>
      </c>
      <c r="AR157" s="5">
        <f>0.5*0.05</f>
        <v>2.5000000000000001E-2</v>
      </c>
      <c r="AS157" s="5" t="s">
        <v>395</v>
      </c>
      <c r="AT157" s="5" t="s">
        <v>395</v>
      </c>
      <c r="AU157" s="5" t="s">
        <v>395</v>
      </c>
      <c r="AV157" s="5" t="s">
        <v>395</v>
      </c>
      <c r="AW157" s="5" t="s">
        <v>395</v>
      </c>
      <c r="AX157" s="5" t="s">
        <v>395</v>
      </c>
      <c r="AY157" s="5" t="s">
        <v>395</v>
      </c>
      <c r="AZ157" s="5" t="s">
        <v>395</v>
      </c>
      <c r="BA157" s="5" t="s">
        <v>395</v>
      </c>
      <c r="BB157" s="5" t="s">
        <v>395</v>
      </c>
      <c r="BC157" s="5">
        <v>48.426714871995301</v>
      </c>
      <c r="BD157" s="5">
        <f t="shared" si="127"/>
        <v>0.15</v>
      </c>
      <c r="BE157" s="5">
        <f t="shared" si="128"/>
        <v>0.05</v>
      </c>
      <c r="BF157" s="5">
        <v>0.12702755520812975</v>
      </c>
      <c r="BG157" s="5">
        <f t="shared" si="129"/>
        <v>0.1</v>
      </c>
      <c r="BH157" s="5">
        <v>0.24545632206370915</v>
      </c>
      <c r="BI157" s="5">
        <v>2.1923978893883129</v>
      </c>
      <c r="BJ157" s="5">
        <f>0.5*0.5</f>
        <v>0.25</v>
      </c>
      <c r="BK157" s="5">
        <f t="shared" si="130"/>
        <v>2.5000000000000001E-2</v>
      </c>
      <c r="BL157" s="5">
        <v>1.6712917725229623</v>
      </c>
      <c r="BM157" s="5">
        <v>5.7621653312487787E-2</v>
      </c>
      <c r="BN157" s="5">
        <v>46</v>
      </c>
      <c r="BO157" s="5" t="s">
        <v>395</v>
      </c>
      <c r="BP157" s="5" t="s">
        <v>395</v>
      </c>
      <c r="BQ157" s="5" t="s">
        <v>395</v>
      </c>
      <c r="BR157" s="5" t="s">
        <v>395</v>
      </c>
      <c r="BS157" s="5" t="s">
        <v>395</v>
      </c>
      <c r="BT157" s="5" t="s">
        <v>395</v>
      </c>
      <c r="BU157" s="5" t="s">
        <v>395</v>
      </c>
      <c r="BV157" s="5" t="s">
        <v>395</v>
      </c>
      <c r="BW157" s="5" t="s">
        <v>395</v>
      </c>
      <c r="BX157" s="5" t="s">
        <v>395</v>
      </c>
      <c r="BY157" s="5" t="s">
        <v>395</v>
      </c>
      <c r="BZ157" s="5" t="s">
        <v>395</v>
      </c>
      <c r="CA157" s="5" t="s">
        <v>395</v>
      </c>
      <c r="CB157" s="5" t="s">
        <v>395</v>
      </c>
      <c r="CC157" s="5" t="s">
        <v>395</v>
      </c>
      <c r="CD157" s="5" t="s">
        <v>395</v>
      </c>
      <c r="CE157" s="5" t="s">
        <v>395</v>
      </c>
      <c r="CF157" s="5" t="s">
        <v>395</v>
      </c>
      <c r="CG157" s="5" t="s">
        <v>395</v>
      </c>
      <c r="CH157" s="5" t="s">
        <v>395</v>
      </c>
      <c r="CI157" s="5" t="s">
        <v>395</v>
      </c>
      <c r="CJ157" s="5" t="s">
        <v>395</v>
      </c>
      <c r="CK157" s="5" t="s">
        <v>395</v>
      </c>
      <c r="CL157" s="5" t="s">
        <v>395</v>
      </c>
      <c r="CM157" s="5" t="s">
        <v>395</v>
      </c>
      <c r="CN157" s="5" t="s">
        <v>395</v>
      </c>
      <c r="CO157" s="5" t="s">
        <v>395</v>
      </c>
      <c r="CP157" s="5" t="s">
        <v>395</v>
      </c>
      <c r="CQ157" s="5" t="s">
        <v>395</v>
      </c>
      <c r="CR157" s="5" t="s">
        <v>395</v>
      </c>
      <c r="CS157" s="5" t="s">
        <v>395</v>
      </c>
      <c r="CT157" s="5" t="s">
        <v>395</v>
      </c>
      <c r="CU157" s="5" t="s">
        <v>395</v>
      </c>
      <c r="CV157" s="5" t="s">
        <v>395</v>
      </c>
      <c r="CW157" s="5" t="s">
        <v>395</v>
      </c>
      <c r="CX157" s="5" t="s">
        <v>395</v>
      </c>
      <c r="CY157" s="252" t="s">
        <v>395</v>
      </c>
    </row>
    <row r="158" spans="1:103" x14ac:dyDescent="0.3">
      <c r="A158" s="26" t="s">
        <v>81</v>
      </c>
      <c r="B158" s="14" t="s">
        <v>81</v>
      </c>
      <c r="C158" s="14" t="s">
        <v>20</v>
      </c>
      <c r="G158" s="22">
        <v>42577</v>
      </c>
      <c r="H158" s="16">
        <v>2016</v>
      </c>
      <c r="I158" s="121" t="s">
        <v>33</v>
      </c>
      <c r="J158" s="121">
        <v>10</v>
      </c>
      <c r="K158" s="251">
        <v>0.75</v>
      </c>
      <c r="L158" s="5">
        <v>3.0173202973378701</v>
      </c>
      <c r="M158" s="5">
        <v>7.0046631610278784E-2</v>
      </c>
      <c r="N158" s="5">
        <v>0.2133148129774779</v>
      </c>
      <c r="O158" s="5">
        <v>0.96090882031947611</v>
      </c>
      <c r="P158" s="5">
        <v>0.5939081258061315</v>
      </c>
      <c r="Q158" s="5">
        <v>2.0702450639944439</v>
      </c>
      <c r="R158" s="5">
        <v>1.6700069451334458</v>
      </c>
      <c r="S158" s="5">
        <v>0.89641829546581997</v>
      </c>
      <c r="T158" s="5">
        <v>6.4748486953070739</v>
      </c>
      <c r="U158" s="5">
        <f t="shared" si="102"/>
        <v>39.206270463339621</v>
      </c>
      <c r="V158" s="5">
        <f>0.5*0.012</f>
        <v>6.0000000000000001E-3</v>
      </c>
      <c r="W158" s="5">
        <v>0.2919158603780575</v>
      </c>
      <c r="X158" s="5">
        <v>6.7986226580042497E-2</v>
      </c>
      <c r="Y158" s="5">
        <v>0.17081539428235679</v>
      </c>
      <c r="Z158" s="5">
        <v>3.3993113290021248E-2</v>
      </c>
      <c r="AA158" s="5">
        <v>6.4303639306956872E-2</v>
      </c>
      <c r="AB158" s="5">
        <v>6.968588224454357E-2</v>
      </c>
      <c r="AC158" s="5">
        <f t="shared" si="120"/>
        <v>0.05</v>
      </c>
      <c r="AD158" s="5">
        <v>0.69870011608197846</v>
      </c>
      <c r="AE158" s="5">
        <f t="shared" si="87"/>
        <v>0.67070700279195727</v>
      </c>
      <c r="AF158" s="5">
        <v>0.18</v>
      </c>
      <c r="AG158" s="250">
        <f>(AF158/K158)*5</f>
        <v>1.2</v>
      </c>
      <c r="AH158" s="250">
        <v>7.4743157399419662</v>
      </c>
      <c r="AI158" s="5">
        <f t="shared" si="122"/>
        <v>0.25</v>
      </c>
      <c r="AJ158" s="5">
        <f t="shared" si="123"/>
        <v>0.1</v>
      </c>
      <c r="AK158" s="5">
        <f t="shared" si="124"/>
        <v>0.01</v>
      </c>
      <c r="AL158" s="5">
        <f t="shared" si="125"/>
        <v>0.05</v>
      </c>
      <c r="AM158" s="5">
        <f t="shared" si="125"/>
        <v>0.05</v>
      </c>
      <c r="AN158" s="5">
        <v>1.2260214885107052</v>
      </c>
      <c r="AO158" s="5">
        <v>1.461375578386009</v>
      </c>
      <c r="AP158" s="5">
        <f t="shared" si="126"/>
        <v>2.5000000000000001E-2</v>
      </c>
      <c r="AQ158" s="5">
        <v>1.0828954591796722</v>
      </c>
      <c r="AR158" s="5">
        <v>0.42683711081483816</v>
      </c>
      <c r="AS158" s="5" t="s">
        <v>395</v>
      </c>
      <c r="AT158" s="5" t="s">
        <v>395</v>
      </c>
      <c r="AU158" s="5" t="s">
        <v>395</v>
      </c>
      <c r="AV158" s="5" t="s">
        <v>395</v>
      </c>
      <c r="AW158" s="5" t="s">
        <v>395</v>
      </c>
      <c r="AX158" s="5" t="s">
        <v>395</v>
      </c>
      <c r="AY158" s="5" t="s">
        <v>395</v>
      </c>
      <c r="AZ158" s="5" t="s">
        <v>395</v>
      </c>
      <c r="BA158" s="5" t="s">
        <v>395</v>
      </c>
      <c r="BB158" s="5" t="s">
        <v>395</v>
      </c>
      <c r="BC158" s="5">
        <v>150.10377714825307</v>
      </c>
      <c r="BD158" s="5">
        <f t="shared" si="127"/>
        <v>0.15</v>
      </c>
      <c r="BE158" s="5">
        <f t="shared" si="128"/>
        <v>0.05</v>
      </c>
      <c r="BF158" s="5">
        <v>0.19641170915958453</v>
      </c>
      <c r="BG158" s="5">
        <f t="shared" si="129"/>
        <v>0.1</v>
      </c>
      <c r="BH158" s="5">
        <v>0.67724268177525981</v>
      </c>
      <c r="BI158" s="5">
        <v>25.839187913125588</v>
      </c>
      <c r="BJ158" s="5">
        <v>22.04343720491029</v>
      </c>
      <c r="BK158" s="5">
        <f t="shared" si="130"/>
        <v>2.5000000000000001E-2</v>
      </c>
      <c r="BL158" s="5">
        <v>23.367705382436263</v>
      </c>
      <c r="BM158" s="5">
        <v>4.7727762039660053</v>
      </c>
      <c r="BN158" s="5">
        <v>26</v>
      </c>
      <c r="BO158" s="5" t="s">
        <v>395</v>
      </c>
      <c r="BP158" s="5" t="s">
        <v>395</v>
      </c>
      <c r="BQ158" s="5" t="s">
        <v>395</v>
      </c>
      <c r="BR158" s="5" t="s">
        <v>395</v>
      </c>
      <c r="BS158" s="5" t="s">
        <v>395</v>
      </c>
      <c r="BT158" s="5" t="s">
        <v>395</v>
      </c>
      <c r="BU158" s="5" t="s">
        <v>395</v>
      </c>
      <c r="BV158" s="5" t="s">
        <v>395</v>
      </c>
      <c r="BW158" s="5" t="s">
        <v>395</v>
      </c>
      <c r="BX158" s="5" t="s">
        <v>395</v>
      </c>
      <c r="BY158" s="5" t="s">
        <v>395</v>
      </c>
      <c r="BZ158" s="5" t="s">
        <v>395</v>
      </c>
      <c r="CA158" s="5" t="s">
        <v>395</v>
      </c>
      <c r="CB158" s="5" t="s">
        <v>395</v>
      </c>
      <c r="CC158" s="5" t="s">
        <v>395</v>
      </c>
      <c r="CD158" s="5" t="s">
        <v>395</v>
      </c>
      <c r="CE158" s="5" t="s">
        <v>395</v>
      </c>
      <c r="CF158" s="5" t="s">
        <v>395</v>
      </c>
      <c r="CG158" s="5" t="s">
        <v>395</v>
      </c>
      <c r="CH158" s="5" t="s">
        <v>395</v>
      </c>
      <c r="CI158" s="5" t="s">
        <v>395</v>
      </c>
      <c r="CJ158" s="5" t="s">
        <v>395</v>
      </c>
      <c r="CK158" s="5" t="s">
        <v>395</v>
      </c>
      <c r="CL158" s="5" t="s">
        <v>395</v>
      </c>
      <c r="CM158" s="5" t="s">
        <v>395</v>
      </c>
      <c r="CN158" s="5" t="s">
        <v>395</v>
      </c>
      <c r="CO158" s="5" t="s">
        <v>395</v>
      </c>
      <c r="CP158" s="5" t="s">
        <v>395</v>
      </c>
      <c r="CQ158" s="5" t="s">
        <v>395</v>
      </c>
      <c r="CR158" s="5" t="s">
        <v>395</v>
      </c>
      <c r="CS158" s="5" t="s">
        <v>395</v>
      </c>
      <c r="CT158" s="5" t="s">
        <v>395</v>
      </c>
      <c r="CU158" s="5" t="s">
        <v>395</v>
      </c>
      <c r="CV158" s="5" t="s">
        <v>395</v>
      </c>
      <c r="CW158" s="5" t="s">
        <v>395</v>
      </c>
      <c r="CX158" s="5" t="s">
        <v>395</v>
      </c>
      <c r="CY158" s="252" t="s">
        <v>395</v>
      </c>
    </row>
    <row r="159" spans="1:103" x14ac:dyDescent="0.3">
      <c r="A159" s="26" t="s">
        <v>6</v>
      </c>
      <c r="B159" s="14" t="s">
        <v>6</v>
      </c>
      <c r="C159" s="14" t="s">
        <v>20</v>
      </c>
      <c r="G159" s="22">
        <v>42615</v>
      </c>
      <c r="H159" s="16">
        <v>2016</v>
      </c>
      <c r="I159" s="121" t="s">
        <v>33</v>
      </c>
      <c r="J159" s="121">
        <v>10</v>
      </c>
      <c r="K159" s="251">
        <v>0.80902916500199296</v>
      </c>
      <c r="L159" s="5">
        <v>3.4291477559253898</v>
      </c>
      <c r="M159" s="5">
        <v>4.0583136327817182E-2</v>
      </c>
      <c r="N159" s="5">
        <v>0.16430260047281325</v>
      </c>
      <c r="O159" s="5">
        <v>0.61485421591804579</v>
      </c>
      <c r="P159" s="5">
        <v>0.47488179669030733</v>
      </c>
      <c r="Q159" s="5">
        <v>1.4137115839243499</v>
      </c>
      <c r="R159" s="5">
        <v>1.1817375886524824</v>
      </c>
      <c r="S159" s="5">
        <v>0.67671394799054374</v>
      </c>
      <c r="T159" s="5">
        <v>4.5667848699763596</v>
      </c>
      <c r="U159" s="5">
        <f t="shared" si="102"/>
        <v>25.288971339345796</v>
      </c>
      <c r="V159" s="5">
        <f>0.5*0.012</f>
        <v>6.0000000000000001E-3</v>
      </c>
      <c r="W159" s="5">
        <v>7.1661841444215363E-2</v>
      </c>
      <c r="X159" s="5">
        <v>1.758024384702165E-2</v>
      </c>
      <c r="Y159" s="5">
        <v>3.5905413280781506E-2</v>
      </c>
      <c r="Z159" s="5">
        <v>5.6316374357408334E-2</v>
      </c>
      <c r="AA159" s="5">
        <v>2.0708931311322114E-2</v>
      </c>
      <c r="AB159" s="5">
        <v>4.5142490556335249E-2</v>
      </c>
      <c r="AC159" s="5">
        <f t="shared" si="120"/>
        <v>0.05</v>
      </c>
      <c r="AD159" s="5">
        <v>0.2473152947970842</v>
      </c>
      <c r="AE159" s="5">
        <f t="shared" si="87"/>
        <v>0.19699892043967587</v>
      </c>
      <c r="AF159" s="5">
        <f>0.5*0.1</f>
        <v>0.05</v>
      </c>
      <c r="AG159" s="250" t="s">
        <v>395</v>
      </c>
      <c r="AH159" s="250">
        <v>1.1459341723136494</v>
      </c>
      <c r="AI159" s="5">
        <f t="shared" si="122"/>
        <v>0.25</v>
      </c>
      <c r="AJ159" s="5">
        <f t="shared" si="123"/>
        <v>0.1</v>
      </c>
      <c r="AK159" s="5">
        <f t="shared" si="124"/>
        <v>0.01</v>
      </c>
      <c r="AL159" s="5">
        <f t="shared" si="125"/>
        <v>0.05</v>
      </c>
      <c r="AM159" s="5">
        <f t="shared" si="125"/>
        <v>0.05</v>
      </c>
      <c r="AN159" s="5">
        <v>0.17852533075185542</v>
      </c>
      <c r="AO159" s="5">
        <v>2.5653436592449178E-2</v>
      </c>
      <c r="AP159" s="5">
        <f t="shared" si="126"/>
        <v>2.5000000000000001E-2</v>
      </c>
      <c r="AQ159" s="5">
        <f>0.5*0.1</f>
        <v>0.05</v>
      </c>
      <c r="AR159" s="5">
        <f>0.5*0.05</f>
        <v>2.5000000000000001E-2</v>
      </c>
      <c r="AS159" s="5" t="s">
        <v>395</v>
      </c>
      <c r="AT159" s="5" t="s">
        <v>395</v>
      </c>
      <c r="AU159" s="5" t="s">
        <v>395</v>
      </c>
      <c r="AV159" s="5" t="s">
        <v>395</v>
      </c>
      <c r="AW159" s="5" t="s">
        <v>395</v>
      </c>
      <c r="AX159" s="5" t="s">
        <v>395</v>
      </c>
      <c r="AY159" s="5" t="s">
        <v>395</v>
      </c>
      <c r="AZ159" s="5" t="s">
        <v>395</v>
      </c>
      <c r="BA159" s="5" t="s">
        <v>395</v>
      </c>
      <c r="BB159" s="5" t="s">
        <v>395</v>
      </c>
      <c r="BC159" s="5">
        <v>30.385279787391113</v>
      </c>
      <c r="BD159" s="5">
        <f t="shared" si="127"/>
        <v>0.15</v>
      </c>
      <c r="BE159" s="5">
        <f t="shared" si="128"/>
        <v>0.05</v>
      </c>
      <c r="BF159" s="5">
        <f>0.5*0.02</f>
        <v>0.01</v>
      </c>
      <c r="BG159" s="5">
        <f t="shared" si="129"/>
        <v>0.1</v>
      </c>
      <c r="BH159" s="5">
        <v>0.12933707367488556</v>
      </c>
      <c r="BI159" s="5">
        <v>2.3650524139967519</v>
      </c>
      <c r="BJ159" s="5">
        <v>0.80761848516167123</v>
      </c>
      <c r="BK159" s="5">
        <f t="shared" si="130"/>
        <v>2.5000000000000001E-2</v>
      </c>
      <c r="BL159" s="5">
        <v>1.4516462424331906</v>
      </c>
      <c r="BM159" s="5">
        <v>6.8928096855160201E-2</v>
      </c>
      <c r="BN159" s="5">
        <v>50</v>
      </c>
      <c r="BO159" s="5" t="s">
        <v>395</v>
      </c>
      <c r="BP159" s="5" t="s">
        <v>395</v>
      </c>
      <c r="BQ159" s="5" t="s">
        <v>395</v>
      </c>
      <c r="BR159" s="5" t="s">
        <v>395</v>
      </c>
      <c r="BS159" s="5" t="s">
        <v>395</v>
      </c>
      <c r="BT159" s="5" t="s">
        <v>395</v>
      </c>
      <c r="BU159" s="5" t="s">
        <v>395</v>
      </c>
      <c r="BV159" s="5" t="s">
        <v>395</v>
      </c>
      <c r="BW159" s="5" t="s">
        <v>395</v>
      </c>
      <c r="BX159" s="5" t="s">
        <v>395</v>
      </c>
      <c r="BY159" s="5" t="s">
        <v>395</v>
      </c>
      <c r="BZ159" s="5" t="s">
        <v>395</v>
      </c>
      <c r="CA159" s="5" t="s">
        <v>395</v>
      </c>
      <c r="CB159" s="5" t="s">
        <v>395</v>
      </c>
      <c r="CC159" s="5" t="s">
        <v>395</v>
      </c>
      <c r="CD159" s="5" t="s">
        <v>395</v>
      </c>
      <c r="CE159" s="5" t="s">
        <v>395</v>
      </c>
      <c r="CF159" s="5" t="s">
        <v>395</v>
      </c>
      <c r="CG159" s="5" t="s">
        <v>395</v>
      </c>
      <c r="CH159" s="5" t="s">
        <v>395</v>
      </c>
      <c r="CI159" s="5" t="s">
        <v>395</v>
      </c>
      <c r="CJ159" s="5" t="s">
        <v>395</v>
      </c>
      <c r="CK159" s="5" t="s">
        <v>395</v>
      </c>
      <c r="CL159" s="5" t="s">
        <v>395</v>
      </c>
      <c r="CM159" s="5" t="s">
        <v>395</v>
      </c>
      <c r="CN159" s="5" t="s">
        <v>395</v>
      </c>
      <c r="CO159" s="5" t="s">
        <v>395</v>
      </c>
      <c r="CP159" s="5" t="s">
        <v>395</v>
      </c>
      <c r="CQ159" s="5" t="s">
        <v>395</v>
      </c>
      <c r="CR159" s="5" t="s">
        <v>395</v>
      </c>
      <c r="CS159" s="5" t="s">
        <v>395</v>
      </c>
      <c r="CT159" s="5" t="s">
        <v>395</v>
      </c>
      <c r="CU159" s="5" t="s">
        <v>395</v>
      </c>
      <c r="CV159" s="5" t="s">
        <v>395</v>
      </c>
      <c r="CW159" s="5" t="s">
        <v>395</v>
      </c>
      <c r="CX159" s="5" t="s">
        <v>395</v>
      </c>
      <c r="CY159" s="252" t="s">
        <v>395</v>
      </c>
    </row>
    <row r="160" spans="1:103" x14ac:dyDescent="0.3">
      <c r="A160" s="26" t="s">
        <v>82</v>
      </c>
      <c r="B160" s="14" t="s">
        <v>82</v>
      </c>
      <c r="C160" s="14" t="s">
        <v>20</v>
      </c>
      <c r="G160" s="22">
        <v>42627</v>
      </c>
      <c r="H160" s="16">
        <v>2016</v>
      </c>
      <c r="I160" s="121" t="s">
        <v>33</v>
      </c>
      <c r="J160" s="121">
        <v>10</v>
      </c>
      <c r="K160" s="251">
        <v>1.16434827408554</v>
      </c>
      <c r="L160" s="5">
        <v>3.5887980332424698</v>
      </c>
      <c r="M160" s="5">
        <v>0.12750635413724937</v>
      </c>
      <c r="N160" s="5">
        <v>1.3024569330697544</v>
      </c>
      <c r="O160" s="5">
        <v>4.3155888167184413</v>
      </c>
      <c r="P160" s="5">
        <v>1.5372776051962724</v>
      </c>
      <c r="Q160" s="5">
        <v>8.3256265781441847</v>
      </c>
      <c r="R160" s="5">
        <v>4.2278025499559302</v>
      </c>
      <c r="S160" s="5">
        <v>2.4538266026546176</v>
      </c>
      <c r="T160" s="5">
        <v>22.290085439876453</v>
      </c>
      <c r="U160" s="5">
        <f t="shared" si="102"/>
        <v>89.117699130782384</v>
      </c>
      <c r="V160" s="5">
        <f>0.5*0.018</f>
        <v>8.9999999999999993E-3</v>
      </c>
      <c r="W160" s="5">
        <v>0.11567622206152006</v>
      </c>
      <c r="X160" s="5">
        <v>5.3375140145840466E-2</v>
      </c>
      <c r="Y160" s="5">
        <v>2.9917073636124961E-2</v>
      </c>
      <c r="Z160" s="5">
        <v>4.481203167653823E-2</v>
      </c>
      <c r="AA160" s="5">
        <f>0.5*0.028</f>
        <v>1.4E-2</v>
      </c>
      <c r="AB160" s="5">
        <v>3.6294050825534524E-2</v>
      </c>
      <c r="AC160" s="5">
        <f>0.5*0.2</f>
        <v>0.1</v>
      </c>
      <c r="AD160" s="5">
        <v>0.28007451834555824</v>
      </c>
      <c r="AE160" s="5">
        <f t="shared" si="87"/>
        <v>0.25826248666902002</v>
      </c>
      <c r="AF160" s="5">
        <f>0.5*0.1</f>
        <v>0.05</v>
      </c>
      <c r="AG160" s="250" t="s">
        <v>395</v>
      </c>
      <c r="AH160" s="250">
        <v>3.5701480904130944</v>
      </c>
      <c r="AI160" s="5">
        <f t="shared" si="122"/>
        <v>0.25</v>
      </c>
      <c r="AJ160" s="5">
        <f t="shared" si="123"/>
        <v>0.1</v>
      </c>
      <c r="AK160" s="5">
        <f t="shared" si="124"/>
        <v>0.01</v>
      </c>
      <c r="AL160" s="5">
        <f t="shared" si="125"/>
        <v>0.05</v>
      </c>
      <c r="AM160" s="5">
        <f t="shared" si="125"/>
        <v>0.05</v>
      </c>
      <c r="AN160" s="5">
        <v>0.25042868277474667</v>
      </c>
      <c r="AO160" s="5">
        <v>4.6297739672642252E-2</v>
      </c>
      <c r="AP160" s="5">
        <f t="shared" si="126"/>
        <v>2.5000000000000001E-2</v>
      </c>
      <c r="AQ160" s="5">
        <v>0.22743569758378801</v>
      </c>
      <c r="AR160" s="5">
        <v>7.0038971161340613E-2</v>
      </c>
      <c r="AS160" s="5" t="s">
        <v>395</v>
      </c>
      <c r="AT160" s="5" t="s">
        <v>395</v>
      </c>
      <c r="AU160" s="5" t="s">
        <v>395</v>
      </c>
      <c r="AV160" s="5" t="s">
        <v>395</v>
      </c>
      <c r="AW160" s="5" t="s">
        <v>395</v>
      </c>
      <c r="AX160" s="5" t="s">
        <v>395</v>
      </c>
      <c r="AY160" s="5" t="s">
        <v>395</v>
      </c>
      <c r="AZ160" s="5" t="s">
        <v>395</v>
      </c>
      <c r="BA160" s="5" t="s">
        <v>395</v>
      </c>
      <c r="BB160" s="5" t="s">
        <v>395</v>
      </c>
      <c r="BC160" s="5">
        <v>59.335231516056758</v>
      </c>
      <c r="BD160" s="5">
        <f t="shared" si="127"/>
        <v>0.15</v>
      </c>
      <c r="BE160" s="5">
        <f t="shared" si="128"/>
        <v>0.05</v>
      </c>
      <c r="BF160" s="5">
        <v>5.7318894697535483E-2</v>
      </c>
      <c r="BG160" s="5">
        <f t="shared" si="129"/>
        <v>0.1</v>
      </c>
      <c r="BH160" s="5">
        <v>0.26624346527259152</v>
      </c>
      <c r="BI160" s="5">
        <v>2.7853808812546679</v>
      </c>
      <c r="BJ160" s="5">
        <v>0.8644510828976848</v>
      </c>
      <c r="BK160" s="5">
        <f t="shared" si="130"/>
        <v>2.5000000000000001E-2</v>
      </c>
      <c r="BL160" s="5">
        <v>2.9746079163554895</v>
      </c>
      <c r="BM160" s="5">
        <v>0.36255601194921583</v>
      </c>
      <c r="BN160" s="5">
        <v>210</v>
      </c>
      <c r="BO160" s="5" t="s">
        <v>395</v>
      </c>
      <c r="BP160" s="5" t="s">
        <v>395</v>
      </c>
      <c r="BQ160" s="5" t="s">
        <v>395</v>
      </c>
      <c r="BR160" s="5" t="s">
        <v>395</v>
      </c>
      <c r="BS160" s="5" t="s">
        <v>395</v>
      </c>
      <c r="BT160" s="5" t="s">
        <v>395</v>
      </c>
      <c r="BU160" s="5" t="s">
        <v>395</v>
      </c>
      <c r="BV160" s="5" t="s">
        <v>395</v>
      </c>
      <c r="BW160" s="5" t="s">
        <v>395</v>
      </c>
      <c r="BX160" s="5" t="s">
        <v>395</v>
      </c>
      <c r="BY160" s="5" t="s">
        <v>395</v>
      </c>
      <c r="BZ160" s="5" t="s">
        <v>395</v>
      </c>
      <c r="CA160" s="5" t="s">
        <v>395</v>
      </c>
      <c r="CB160" s="5" t="s">
        <v>395</v>
      </c>
      <c r="CC160" s="5" t="s">
        <v>395</v>
      </c>
      <c r="CD160" s="5" t="s">
        <v>395</v>
      </c>
      <c r="CE160" s="5" t="s">
        <v>395</v>
      </c>
      <c r="CF160" s="5" t="s">
        <v>395</v>
      </c>
      <c r="CG160" s="5" t="s">
        <v>395</v>
      </c>
      <c r="CH160" s="5" t="s">
        <v>395</v>
      </c>
      <c r="CI160" s="5" t="s">
        <v>395</v>
      </c>
      <c r="CJ160" s="5" t="s">
        <v>395</v>
      </c>
      <c r="CK160" s="5" t="s">
        <v>395</v>
      </c>
      <c r="CL160" s="5" t="s">
        <v>395</v>
      </c>
      <c r="CM160" s="5" t="s">
        <v>395</v>
      </c>
      <c r="CN160" s="5" t="s">
        <v>395</v>
      </c>
      <c r="CO160" s="5" t="s">
        <v>395</v>
      </c>
      <c r="CP160" s="5" t="s">
        <v>395</v>
      </c>
      <c r="CQ160" s="5" t="s">
        <v>395</v>
      </c>
      <c r="CR160" s="5" t="s">
        <v>395</v>
      </c>
      <c r="CS160" s="5" t="s">
        <v>395</v>
      </c>
      <c r="CT160" s="5" t="s">
        <v>395</v>
      </c>
      <c r="CU160" s="5" t="s">
        <v>395</v>
      </c>
      <c r="CV160" s="5" t="s">
        <v>395</v>
      </c>
      <c r="CW160" s="5" t="s">
        <v>395</v>
      </c>
      <c r="CX160" s="5" t="s">
        <v>395</v>
      </c>
      <c r="CY160" s="252" t="s">
        <v>395</v>
      </c>
    </row>
    <row r="161" spans="1:103" x14ac:dyDescent="0.3">
      <c r="A161" s="26" t="s">
        <v>27</v>
      </c>
      <c r="B161" s="14" t="s">
        <v>27</v>
      </c>
      <c r="C161" s="14" t="s">
        <v>20</v>
      </c>
      <c r="G161" s="22">
        <v>42631</v>
      </c>
      <c r="H161" s="16">
        <v>2016</v>
      </c>
      <c r="I161" s="121" t="s">
        <v>33</v>
      </c>
      <c r="J161" s="121">
        <v>10</v>
      </c>
      <c r="K161" s="251">
        <v>0.85147661133865715</v>
      </c>
      <c r="L161" s="5">
        <v>3.35591784882488</v>
      </c>
      <c r="M161" s="5">
        <v>7.9529872673849172E-2</v>
      </c>
      <c r="N161" s="5">
        <v>0.23006856023506367</v>
      </c>
      <c r="O161" s="5">
        <v>0.392458374142997</v>
      </c>
      <c r="P161" s="5">
        <v>0.385896180215475</v>
      </c>
      <c r="Q161" s="5">
        <v>0.7269343780607247</v>
      </c>
      <c r="R161" s="5">
        <v>0.61704211557296762</v>
      </c>
      <c r="S161" s="5">
        <v>0.23643486777668951</v>
      </c>
      <c r="T161" s="5">
        <v>2.6683643486777666</v>
      </c>
      <c r="U161" s="5">
        <f t="shared" si="102"/>
        <v>13.402999789236064</v>
      </c>
      <c r="V161" s="5">
        <f>0.5*0.012</f>
        <v>6.0000000000000001E-3</v>
      </c>
      <c r="W161" s="5">
        <v>3.7996350584967413E-2</v>
      </c>
      <c r="X161" s="5">
        <v>1.3057165149473337E-2</v>
      </c>
      <c r="Y161" s="5">
        <f>0.5*0.015</f>
        <v>7.4999999999999997E-3</v>
      </c>
      <c r="Z161" s="5">
        <v>3.3687486085641212E-2</v>
      </c>
      <c r="AA161" s="5">
        <f>0.5*0.02</f>
        <v>0.01</v>
      </c>
      <c r="AB161" s="5">
        <v>2.2066609102609942E-2</v>
      </c>
      <c r="AC161" s="5">
        <f>0.5*0.1</f>
        <v>0.05</v>
      </c>
      <c r="AD161" s="5">
        <v>0.10680761092269189</v>
      </c>
      <c r="AE161" s="5">
        <f t="shared" si="87"/>
        <v>9.6620124837050694E-2</v>
      </c>
      <c r="AF161" s="5">
        <f>0.5*0.1</f>
        <v>0.05</v>
      </c>
      <c r="AG161" s="250" t="s">
        <v>395</v>
      </c>
      <c r="AH161" s="250">
        <v>9.4225273852992526</v>
      </c>
      <c r="AI161" s="5">
        <f t="shared" si="122"/>
        <v>0.25</v>
      </c>
      <c r="AJ161" s="5">
        <f t="shared" si="123"/>
        <v>0.1</v>
      </c>
      <c r="AK161" s="5">
        <f t="shared" si="124"/>
        <v>0.01</v>
      </c>
      <c r="AL161" s="5">
        <f t="shared" si="125"/>
        <v>0.05</v>
      </c>
      <c r="AM161" s="5">
        <f t="shared" si="125"/>
        <v>0.05</v>
      </c>
      <c r="AN161" s="5">
        <v>0.35426258136212097</v>
      </c>
      <c r="AO161" s="5">
        <v>5.1119225273853E-2</v>
      </c>
      <c r="AP161" s="5">
        <f t="shared" si="126"/>
        <v>2.5000000000000001E-2</v>
      </c>
      <c r="AQ161" s="5">
        <v>0.25146848706143832</v>
      </c>
      <c r="AR161" s="5">
        <f>0.5*0.05</f>
        <v>2.5000000000000001E-2</v>
      </c>
      <c r="AS161" s="5" t="s">
        <v>395</v>
      </c>
      <c r="AT161" s="5" t="s">
        <v>395</v>
      </c>
      <c r="AU161" s="5" t="s">
        <v>395</v>
      </c>
      <c r="AV161" s="5" t="s">
        <v>395</v>
      </c>
      <c r="AW161" s="5" t="s">
        <v>395</v>
      </c>
      <c r="AX161" s="5" t="s">
        <v>395</v>
      </c>
      <c r="AY161" s="5" t="s">
        <v>395</v>
      </c>
      <c r="AZ161" s="5" t="s">
        <v>395</v>
      </c>
      <c r="BA161" s="5" t="s">
        <v>395</v>
      </c>
      <c r="BB161" s="5" t="s">
        <v>395</v>
      </c>
      <c r="BC161" s="5">
        <v>150</v>
      </c>
      <c r="BD161" s="5">
        <f t="shared" si="127"/>
        <v>0.15</v>
      </c>
      <c r="BE161" s="5">
        <f t="shared" si="128"/>
        <v>0.05</v>
      </c>
      <c r="BF161" s="5">
        <v>4.5298165137614685E-2</v>
      </c>
      <c r="BG161" s="5">
        <f t="shared" si="129"/>
        <v>0.1</v>
      </c>
      <c r="BH161" s="5">
        <v>0.67392966360856277</v>
      </c>
      <c r="BI161" s="5">
        <v>4.2466551987767591</v>
      </c>
      <c r="BJ161" s="5">
        <v>0.88685015290519875</v>
      </c>
      <c r="BK161" s="5">
        <f t="shared" si="130"/>
        <v>2.5000000000000001E-2</v>
      </c>
      <c r="BL161" s="5">
        <v>3.6185015290519877</v>
      </c>
      <c r="BM161" s="5">
        <v>0.13299885321100918</v>
      </c>
      <c r="BN161" s="5">
        <v>67</v>
      </c>
      <c r="BO161" s="5" t="s">
        <v>395</v>
      </c>
      <c r="BP161" s="5" t="s">
        <v>395</v>
      </c>
      <c r="BQ161" s="5" t="s">
        <v>395</v>
      </c>
      <c r="BR161" s="5" t="s">
        <v>395</v>
      </c>
      <c r="BS161" s="5" t="s">
        <v>395</v>
      </c>
      <c r="BT161" s="5" t="s">
        <v>395</v>
      </c>
      <c r="BU161" s="5" t="s">
        <v>395</v>
      </c>
      <c r="BV161" s="5" t="s">
        <v>395</v>
      </c>
      <c r="BW161" s="5" t="s">
        <v>395</v>
      </c>
      <c r="BX161" s="5" t="s">
        <v>395</v>
      </c>
      <c r="BY161" s="5" t="s">
        <v>395</v>
      </c>
      <c r="BZ161" s="5" t="s">
        <v>395</v>
      </c>
      <c r="CA161" s="5" t="s">
        <v>395</v>
      </c>
      <c r="CB161" s="5" t="s">
        <v>395</v>
      </c>
      <c r="CC161" s="5" t="s">
        <v>395</v>
      </c>
      <c r="CD161" s="5" t="s">
        <v>395</v>
      </c>
      <c r="CE161" s="5" t="s">
        <v>395</v>
      </c>
      <c r="CF161" s="5" t="s">
        <v>395</v>
      </c>
      <c r="CG161" s="5" t="s">
        <v>395</v>
      </c>
      <c r="CH161" s="5" t="s">
        <v>395</v>
      </c>
      <c r="CI161" s="5" t="s">
        <v>395</v>
      </c>
      <c r="CJ161" s="5" t="s">
        <v>395</v>
      </c>
      <c r="CK161" s="5" t="s">
        <v>395</v>
      </c>
      <c r="CL161" s="5" t="s">
        <v>395</v>
      </c>
      <c r="CM161" s="5" t="s">
        <v>395</v>
      </c>
      <c r="CN161" s="5" t="s">
        <v>395</v>
      </c>
      <c r="CO161" s="5" t="s">
        <v>395</v>
      </c>
      <c r="CP161" s="5" t="s">
        <v>395</v>
      </c>
      <c r="CQ161" s="5" t="s">
        <v>395</v>
      </c>
      <c r="CR161" s="5" t="s">
        <v>395</v>
      </c>
      <c r="CS161" s="5" t="s">
        <v>395</v>
      </c>
      <c r="CT161" s="5" t="s">
        <v>395</v>
      </c>
      <c r="CU161" s="5" t="s">
        <v>395</v>
      </c>
      <c r="CV161" s="5" t="s">
        <v>395</v>
      </c>
      <c r="CW161" s="5" t="s">
        <v>395</v>
      </c>
      <c r="CX161" s="5" t="s">
        <v>395</v>
      </c>
      <c r="CY161" s="252" t="s">
        <v>395</v>
      </c>
    </row>
    <row r="162" spans="1:103" x14ac:dyDescent="0.3">
      <c r="A162" s="26" t="s">
        <v>28</v>
      </c>
      <c r="B162" s="14" t="s">
        <v>28</v>
      </c>
      <c r="C162" s="14" t="s">
        <v>20</v>
      </c>
      <c r="G162" s="22">
        <v>42625</v>
      </c>
      <c r="H162" s="16">
        <v>2016</v>
      </c>
      <c r="I162" s="121" t="s">
        <v>33</v>
      </c>
      <c r="J162" s="121">
        <v>10</v>
      </c>
      <c r="K162" s="251">
        <v>0.91037831276552605</v>
      </c>
      <c r="L162" s="5">
        <v>3.2172423636882699</v>
      </c>
      <c r="M162" s="5">
        <v>0.15026056745801969</v>
      </c>
      <c r="N162" s="5">
        <v>0.55896545068519587</v>
      </c>
      <c r="O162" s="5">
        <v>1.9866821077012158</v>
      </c>
      <c r="P162" s="5">
        <v>1.5251881876085698</v>
      </c>
      <c r="Q162" s="5">
        <v>3.376375217139548</v>
      </c>
      <c r="R162" s="5">
        <v>3.1627099015634044</v>
      </c>
      <c r="S162" s="5">
        <v>0.96303802354757762</v>
      </c>
      <c r="T162" s="5">
        <v>11.72321945570353</v>
      </c>
      <c r="U162" s="5">
        <f t="shared" si="102"/>
        <v>56.00985395354828</v>
      </c>
      <c r="V162" s="5">
        <f>0.5*0.012</f>
        <v>6.0000000000000001E-3</v>
      </c>
      <c r="W162" s="5">
        <v>0.14400579873006539</v>
      </c>
      <c r="X162" s="5">
        <v>4.5196918922819775E-2</v>
      </c>
      <c r="Y162" s="5">
        <v>6.7998968109107216E-2</v>
      </c>
      <c r="Z162" s="5">
        <v>2.3752134569049427E-2</v>
      </c>
      <c r="AA162" s="5">
        <v>2.7959655549852469E-2</v>
      </c>
      <c r="AB162" s="5">
        <v>3.5560338611948288E-2</v>
      </c>
      <c r="AC162" s="5">
        <f>0.5*0.1</f>
        <v>0.05</v>
      </c>
      <c r="AD162" s="5">
        <v>0.34447381449284259</v>
      </c>
      <c r="AE162" s="5">
        <f t="shared" si="87"/>
        <v>0.32672167992379314</v>
      </c>
      <c r="AF162" s="5">
        <f>0.5*0.1</f>
        <v>0.05</v>
      </c>
      <c r="AG162" s="250" t="s">
        <v>395</v>
      </c>
      <c r="AH162" s="250">
        <v>7.7002870028700281</v>
      </c>
      <c r="AI162" s="5">
        <f t="shared" si="122"/>
        <v>0.25</v>
      </c>
      <c r="AJ162" s="5">
        <f t="shared" si="123"/>
        <v>0.1</v>
      </c>
      <c r="AK162" s="5">
        <f t="shared" si="124"/>
        <v>0.01</v>
      </c>
      <c r="AL162" s="5">
        <f t="shared" si="125"/>
        <v>0.05</v>
      </c>
      <c r="AM162" s="5">
        <f t="shared" si="125"/>
        <v>0.05</v>
      </c>
      <c r="AN162" s="5">
        <v>0.34218942189421891</v>
      </c>
      <c r="AO162" s="5">
        <v>4.1738417384173838E-2</v>
      </c>
      <c r="AP162" s="5">
        <f t="shared" si="126"/>
        <v>2.5000000000000001E-2</v>
      </c>
      <c r="AQ162" s="5">
        <v>0.37457974579745795</v>
      </c>
      <c r="AR162" s="5">
        <f>0.5*0.05</f>
        <v>2.5000000000000001E-2</v>
      </c>
      <c r="AS162" s="5" t="s">
        <v>395</v>
      </c>
      <c r="AT162" s="5" t="s">
        <v>395</v>
      </c>
      <c r="AU162" s="5" t="s">
        <v>395</v>
      </c>
      <c r="AV162" s="5" t="s">
        <v>395</v>
      </c>
      <c r="AW162" s="5" t="s">
        <v>395</v>
      </c>
      <c r="AX162" s="5" t="s">
        <v>395</v>
      </c>
      <c r="AY162" s="5" t="s">
        <v>395</v>
      </c>
      <c r="AZ162" s="5" t="s">
        <v>395</v>
      </c>
      <c r="BA162" s="5" t="s">
        <v>395</v>
      </c>
      <c r="BB162" s="5" t="s">
        <v>395</v>
      </c>
      <c r="BC162" s="5">
        <v>130</v>
      </c>
      <c r="BD162" s="5">
        <f t="shared" si="127"/>
        <v>0.15</v>
      </c>
      <c r="BE162" s="5">
        <f t="shared" si="128"/>
        <v>0.05</v>
      </c>
      <c r="BF162" s="5">
        <v>0.11527265670483215</v>
      </c>
      <c r="BG162" s="5">
        <f t="shared" si="129"/>
        <v>0.1</v>
      </c>
      <c r="BH162" s="5">
        <v>0.84339219871919269</v>
      </c>
      <c r="BI162" s="5">
        <v>4.6998835629730253</v>
      </c>
      <c r="BJ162" s="5">
        <v>1.2885697651853287</v>
      </c>
      <c r="BK162" s="5">
        <f t="shared" si="130"/>
        <v>2.5000000000000001E-2</v>
      </c>
      <c r="BL162" s="5">
        <v>3.7321948379584708</v>
      </c>
      <c r="BM162" s="5">
        <v>0.26622355909179118</v>
      </c>
      <c r="BN162" s="5">
        <v>96</v>
      </c>
      <c r="BO162" s="5" t="s">
        <v>395</v>
      </c>
      <c r="BP162" s="5" t="s">
        <v>395</v>
      </c>
      <c r="BQ162" s="5" t="s">
        <v>395</v>
      </c>
      <c r="BR162" s="5" t="s">
        <v>395</v>
      </c>
      <c r="BS162" s="5" t="s">
        <v>395</v>
      </c>
      <c r="BT162" s="5" t="s">
        <v>395</v>
      </c>
      <c r="BU162" s="5" t="s">
        <v>395</v>
      </c>
      <c r="BV162" s="5" t="s">
        <v>395</v>
      </c>
      <c r="BW162" s="5" t="s">
        <v>395</v>
      </c>
      <c r="BX162" s="5" t="s">
        <v>395</v>
      </c>
      <c r="BY162" s="5" t="s">
        <v>395</v>
      </c>
      <c r="BZ162" s="5" t="s">
        <v>395</v>
      </c>
      <c r="CA162" s="5" t="s">
        <v>395</v>
      </c>
      <c r="CB162" s="5" t="s">
        <v>395</v>
      </c>
      <c r="CC162" s="5" t="s">
        <v>395</v>
      </c>
      <c r="CD162" s="5" t="s">
        <v>395</v>
      </c>
      <c r="CE162" s="5" t="s">
        <v>395</v>
      </c>
      <c r="CF162" s="5" t="s">
        <v>395</v>
      </c>
      <c r="CG162" s="5" t="s">
        <v>395</v>
      </c>
      <c r="CH162" s="5" t="s">
        <v>395</v>
      </c>
      <c r="CI162" s="5" t="s">
        <v>395</v>
      </c>
      <c r="CJ162" s="5" t="s">
        <v>395</v>
      </c>
      <c r="CK162" s="5" t="s">
        <v>395</v>
      </c>
      <c r="CL162" s="5" t="s">
        <v>395</v>
      </c>
      <c r="CM162" s="5" t="s">
        <v>395</v>
      </c>
      <c r="CN162" s="5" t="s">
        <v>395</v>
      </c>
      <c r="CO162" s="5" t="s">
        <v>395</v>
      </c>
      <c r="CP162" s="5" t="s">
        <v>395</v>
      </c>
      <c r="CQ162" s="5" t="s">
        <v>395</v>
      </c>
      <c r="CR162" s="5" t="s">
        <v>395</v>
      </c>
      <c r="CS162" s="5" t="s">
        <v>395</v>
      </c>
      <c r="CT162" s="5" t="s">
        <v>395</v>
      </c>
      <c r="CU162" s="5" t="s">
        <v>395</v>
      </c>
      <c r="CV162" s="5" t="s">
        <v>395</v>
      </c>
      <c r="CW162" s="5" t="s">
        <v>395</v>
      </c>
      <c r="CX162" s="5" t="s">
        <v>395</v>
      </c>
      <c r="CY162" s="252" t="s">
        <v>395</v>
      </c>
    </row>
    <row r="163" spans="1:103" x14ac:dyDescent="0.3">
      <c r="A163" s="26" t="s">
        <v>4</v>
      </c>
      <c r="B163" s="14" t="s">
        <v>4</v>
      </c>
      <c r="C163" s="14" t="s">
        <v>20</v>
      </c>
      <c r="G163" s="22">
        <v>42624</v>
      </c>
      <c r="H163" s="16">
        <v>2016</v>
      </c>
      <c r="I163" s="121" t="s">
        <v>33</v>
      </c>
      <c r="J163" s="121">
        <v>14</v>
      </c>
      <c r="K163" s="251">
        <v>0.96251266464033092</v>
      </c>
      <c r="L163" s="5">
        <v>3.1604718450923501</v>
      </c>
      <c r="M163" s="5">
        <v>0.10370961308336657</v>
      </c>
      <c r="N163" s="5">
        <v>0.5758875149581173</v>
      </c>
      <c r="O163" s="5">
        <v>2.7869964100518545</v>
      </c>
      <c r="P163" s="5">
        <v>2.3708615875548462</v>
      </c>
      <c r="Q163" s="5">
        <v>6.4</v>
      </c>
      <c r="R163" s="5">
        <v>5.7</v>
      </c>
      <c r="S163" s="5">
        <v>1.6718189070602314</v>
      </c>
      <c r="T163" s="5">
        <v>19.609274032708417</v>
      </c>
      <c r="U163" s="5">
        <f t="shared" si="102"/>
        <v>89.549016228244511</v>
      </c>
      <c r="V163" s="5">
        <f>0.5*0.012</f>
        <v>6.0000000000000001E-3</v>
      </c>
      <c r="W163" s="5">
        <v>0.19383285346921655</v>
      </c>
      <c r="X163" s="5">
        <v>8.0440634189724872E-2</v>
      </c>
      <c r="Y163" s="5">
        <v>0.21676974112974051</v>
      </c>
      <c r="Z163" s="5">
        <v>2.4229106683652069E-2</v>
      </c>
      <c r="AA163" s="5">
        <v>3.4082276735003907E-2</v>
      </c>
      <c r="AB163" s="5">
        <v>3.6020605269696075E-2</v>
      </c>
      <c r="AC163" s="5">
        <f>0.5*0.1</f>
        <v>0.05</v>
      </c>
      <c r="AD163" s="5">
        <v>0.58537521747703392</v>
      </c>
      <c r="AE163" s="5">
        <f t="shared" si="87"/>
        <v>0.56714611079338184</v>
      </c>
      <c r="AF163" s="5">
        <f>0.5*0.1</f>
        <v>0.05</v>
      </c>
      <c r="AG163" s="250" t="s">
        <v>395</v>
      </c>
      <c r="AH163" s="250">
        <v>9.8341049382716044</v>
      </c>
      <c r="AI163" s="5">
        <f t="shared" si="122"/>
        <v>0.25</v>
      </c>
      <c r="AJ163" s="5">
        <f t="shared" si="123"/>
        <v>0.1</v>
      </c>
      <c r="AK163" s="5">
        <f t="shared" si="124"/>
        <v>0.01</v>
      </c>
      <c r="AL163" s="5">
        <f t="shared" si="125"/>
        <v>0.05</v>
      </c>
      <c r="AM163" s="5">
        <f t="shared" si="125"/>
        <v>0.05</v>
      </c>
      <c r="AN163" s="5">
        <v>0.48894032921810698</v>
      </c>
      <c r="AO163" s="5">
        <v>0.10751028806584362</v>
      </c>
      <c r="AP163" s="5">
        <f t="shared" si="126"/>
        <v>2.5000000000000001E-2</v>
      </c>
      <c r="AQ163" s="5">
        <v>0.30932784636488336</v>
      </c>
      <c r="AR163" s="5">
        <v>6.3237311385459516E-2</v>
      </c>
      <c r="AS163" s="5" t="s">
        <v>395</v>
      </c>
      <c r="AT163" s="5" t="s">
        <v>395</v>
      </c>
      <c r="AU163" s="5" t="s">
        <v>395</v>
      </c>
      <c r="AV163" s="5" t="s">
        <v>395</v>
      </c>
      <c r="AW163" s="5" t="s">
        <v>395</v>
      </c>
      <c r="AX163" s="5" t="s">
        <v>395</v>
      </c>
      <c r="AY163" s="5" t="s">
        <v>395</v>
      </c>
      <c r="AZ163" s="5" t="s">
        <v>395</v>
      </c>
      <c r="BA163" s="5" t="s">
        <v>395</v>
      </c>
      <c r="BB163" s="5" t="s">
        <v>395</v>
      </c>
      <c r="BC163" s="5">
        <v>170.29438510392612</v>
      </c>
      <c r="BD163" s="5">
        <f t="shared" si="127"/>
        <v>0.15</v>
      </c>
      <c r="BE163" s="5">
        <f t="shared" si="128"/>
        <v>0.05</v>
      </c>
      <c r="BF163" s="5">
        <f>0.5*0.02</f>
        <v>0.01</v>
      </c>
      <c r="BG163" s="5">
        <f t="shared" si="129"/>
        <v>0.1</v>
      </c>
      <c r="BH163" s="5">
        <v>0.49740184757505779</v>
      </c>
      <c r="BI163" s="5">
        <v>5.5020929561200926</v>
      </c>
      <c r="BJ163" s="5">
        <v>1.5617782909930717</v>
      </c>
      <c r="BK163" s="5">
        <f t="shared" si="130"/>
        <v>2.5000000000000001E-2</v>
      </c>
      <c r="BL163" s="5">
        <v>5.4318706697459582</v>
      </c>
      <c r="BM163" s="5">
        <v>0.2225534064665127</v>
      </c>
      <c r="BN163" s="5">
        <v>89</v>
      </c>
      <c r="BO163" s="5" t="s">
        <v>395</v>
      </c>
      <c r="BP163" s="5" t="s">
        <v>395</v>
      </c>
      <c r="BQ163" s="5" t="s">
        <v>395</v>
      </c>
      <c r="BR163" s="5" t="s">
        <v>395</v>
      </c>
      <c r="BS163" s="5" t="s">
        <v>395</v>
      </c>
      <c r="BT163" s="5" t="s">
        <v>395</v>
      </c>
      <c r="BU163" s="5" t="s">
        <v>395</v>
      </c>
      <c r="BV163" s="5" t="s">
        <v>395</v>
      </c>
      <c r="BW163" s="5" t="s">
        <v>395</v>
      </c>
      <c r="BX163" s="5" t="s">
        <v>395</v>
      </c>
      <c r="BY163" s="5" t="s">
        <v>395</v>
      </c>
      <c r="BZ163" s="5" t="s">
        <v>395</v>
      </c>
      <c r="CA163" s="5" t="s">
        <v>395</v>
      </c>
      <c r="CB163" s="5" t="s">
        <v>395</v>
      </c>
      <c r="CC163" s="5" t="s">
        <v>395</v>
      </c>
      <c r="CD163" s="5" t="s">
        <v>395</v>
      </c>
      <c r="CE163" s="5" t="s">
        <v>395</v>
      </c>
      <c r="CF163" s="5" t="s">
        <v>395</v>
      </c>
      <c r="CG163" s="5" t="s">
        <v>395</v>
      </c>
      <c r="CH163" s="5" t="s">
        <v>395</v>
      </c>
      <c r="CI163" s="5" t="s">
        <v>395</v>
      </c>
      <c r="CJ163" s="5" t="s">
        <v>395</v>
      </c>
      <c r="CK163" s="5" t="s">
        <v>395</v>
      </c>
      <c r="CL163" s="5" t="s">
        <v>395</v>
      </c>
      <c r="CM163" s="5" t="s">
        <v>395</v>
      </c>
      <c r="CN163" s="5" t="s">
        <v>395</v>
      </c>
      <c r="CO163" s="5" t="s">
        <v>395</v>
      </c>
      <c r="CP163" s="5" t="s">
        <v>395</v>
      </c>
      <c r="CQ163" s="5" t="s">
        <v>395</v>
      </c>
      <c r="CR163" s="5" t="s">
        <v>395</v>
      </c>
      <c r="CS163" s="5" t="s">
        <v>395</v>
      </c>
      <c r="CT163" s="5" t="s">
        <v>395</v>
      </c>
      <c r="CU163" s="5" t="s">
        <v>395</v>
      </c>
      <c r="CV163" s="5" t="s">
        <v>395</v>
      </c>
      <c r="CW163" s="5" t="s">
        <v>395</v>
      </c>
      <c r="CX163" s="5" t="s">
        <v>395</v>
      </c>
      <c r="CY163" s="252" t="s">
        <v>395</v>
      </c>
    </row>
    <row r="164" spans="1:103" x14ac:dyDescent="0.3">
      <c r="A164" s="26" t="s">
        <v>32</v>
      </c>
      <c r="B164" s="14" t="s">
        <v>32</v>
      </c>
      <c r="C164" s="14" t="s">
        <v>31</v>
      </c>
      <c r="G164" s="16" t="s">
        <v>31</v>
      </c>
      <c r="H164" s="16">
        <v>2015</v>
      </c>
      <c r="I164" s="121" t="s">
        <v>3</v>
      </c>
      <c r="J164" s="121" t="s">
        <v>395</v>
      </c>
      <c r="K164" s="251" t="s">
        <v>395</v>
      </c>
      <c r="L164" s="5" t="s">
        <v>395</v>
      </c>
      <c r="M164" s="6">
        <v>0.04</v>
      </c>
      <c r="N164" s="6">
        <v>0.05</v>
      </c>
      <c r="O164" s="6">
        <v>0.04</v>
      </c>
      <c r="P164" s="6">
        <v>0.03</v>
      </c>
      <c r="Q164" s="6">
        <v>0.03</v>
      </c>
      <c r="R164" s="6">
        <v>0.03</v>
      </c>
      <c r="S164" s="6">
        <v>0.03</v>
      </c>
      <c r="T164" s="6" t="s">
        <v>395</v>
      </c>
      <c r="U164" s="5" t="s">
        <v>395</v>
      </c>
      <c r="V164" s="6">
        <v>2.5000000000000001E-2</v>
      </c>
      <c r="W164" s="6">
        <v>0.02</v>
      </c>
      <c r="X164" s="6">
        <v>0.02</v>
      </c>
      <c r="Y164" s="6">
        <v>0.02</v>
      </c>
      <c r="Z164" s="6">
        <v>2.5000000000000001E-2</v>
      </c>
      <c r="AA164" s="6">
        <v>2.5000000000000001E-2</v>
      </c>
      <c r="AB164" s="6">
        <v>2.5000000000000001E-2</v>
      </c>
      <c r="AC164" s="6">
        <v>0.1</v>
      </c>
      <c r="AD164" s="6" t="s">
        <v>395</v>
      </c>
      <c r="AE164" s="6">
        <v>0.1</v>
      </c>
      <c r="AF164" s="5">
        <v>0.1</v>
      </c>
      <c r="AG164" s="250" t="s">
        <v>395</v>
      </c>
      <c r="AH164" s="250">
        <v>0.1</v>
      </c>
      <c r="AI164" s="5">
        <v>0.1</v>
      </c>
      <c r="AJ164" s="5">
        <v>0.02</v>
      </c>
      <c r="AK164" s="5">
        <v>0.1</v>
      </c>
      <c r="AL164" s="5">
        <v>0.1</v>
      </c>
      <c r="AM164" s="5">
        <v>0.1</v>
      </c>
      <c r="AN164" s="5">
        <v>0.05</v>
      </c>
      <c r="AO164" s="5">
        <v>0.01</v>
      </c>
      <c r="AP164" s="5">
        <v>0.1</v>
      </c>
      <c r="AQ164" s="5">
        <v>0.02</v>
      </c>
      <c r="AR164" s="5">
        <v>0.1</v>
      </c>
      <c r="AS164" s="5" t="s">
        <v>395</v>
      </c>
      <c r="AT164" s="5" t="s">
        <v>395</v>
      </c>
      <c r="AU164" s="5" t="s">
        <v>395</v>
      </c>
      <c r="AV164" s="5" t="s">
        <v>395</v>
      </c>
      <c r="AW164" s="5" t="s">
        <v>395</v>
      </c>
      <c r="AX164" s="5" t="s">
        <v>395</v>
      </c>
      <c r="AY164" s="5" t="s">
        <v>395</v>
      </c>
      <c r="AZ164" s="5" t="s">
        <v>395</v>
      </c>
      <c r="BA164" s="5" t="s">
        <v>395</v>
      </c>
      <c r="BB164" s="5" t="s">
        <v>395</v>
      </c>
      <c r="BC164" s="5">
        <v>0.1</v>
      </c>
      <c r="BD164" s="5">
        <v>0.1</v>
      </c>
      <c r="BE164" s="5">
        <v>0.02</v>
      </c>
      <c r="BF164" s="5">
        <v>0.1</v>
      </c>
      <c r="BG164" s="5">
        <v>0.05</v>
      </c>
      <c r="BH164" s="5">
        <v>0.1</v>
      </c>
      <c r="BI164" s="5">
        <v>0.05</v>
      </c>
      <c r="BJ164" s="5">
        <v>0.01</v>
      </c>
      <c r="BK164" s="5">
        <v>0.1</v>
      </c>
      <c r="BL164" s="5">
        <v>0.02</v>
      </c>
      <c r="BM164" s="6">
        <v>0.04</v>
      </c>
      <c r="BN164" s="6" t="s">
        <v>395</v>
      </c>
      <c r="BO164" s="5" t="s">
        <v>395</v>
      </c>
      <c r="BP164" s="5" t="s">
        <v>395</v>
      </c>
      <c r="BQ164" s="5" t="s">
        <v>395</v>
      </c>
      <c r="BR164" s="5" t="s">
        <v>395</v>
      </c>
      <c r="BS164" s="5" t="s">
        <v>395</v>
      </c>
      <c r="BT164" s="5" t="s">
        <v>395</v>
      </c>
      <c r="BU164" s="5" t="s">
        <v>395</v>
      </c>
      <c r="BV164" s="5" t="s">
        <v>395</v>
      </c>
      <c r="BW164" s="5" t="s">
        <v>395</v>
      </c>
      <c r="BX164" s="5" t="s">
        <v>395</v>
      </c>
      <c r="BY164" s="5" t="s">
        <v>395</v>
      </c>
      <c r="BZ164" s="5" t="s">
        <v>395</v>
      </c>
      <c r="CA164" s="5" t="s">
        <v>395</v>
      </c>
      <c r="CB164" s="5" t="s">
        <v>395</v>
      </c>
      <c r="CC164" s="5" t="s">
        <v>395</v>
      </c>
      <c r="CD164" s="5" t="s">
        <v>395</v>
      </c>
      <c r="CE164" s="5" t="s">
        <v>395</v>
      </c>
      <c r="CF164" s="5" t="s">
        <v>395</v>
      </c>
      <c r="CG164" s="5" t="s">
        <v>395</v>
      </c>
      <c r="CH164" s="5" t="s">
        <v>395</v>
      </c>
      <c r="CI164" s="5" t="s">
        <v>395</v>
      </c>
      <c r="CJ164" s="5" t="s">
        <v>395</v>
      </c>
      <c r="CK164" s="5" t="s">
        <v>395</v>
      </c>
      <c r="CL164" s="5" t="s">
        <v>395</v>
      </c>
      <c r="CM164" s="5" t="s">
        <v>395</v>
      </c>
      <c r="CN164" s="5" t="s">
        <v>395</v>
      </c>
      <c r="CO164" s="5" t="s">
        <v>395</v>
      </c>
      <c r="CP164" s="5" t="s">
        <v>395</v>
      </c>
      <c r="CQ164" s="5" t="s">
        <v>395</v>
      </c>
      <c r="CR164" s="5" t="s">
        <v>395</v>
      </c>
      <c r="CS164" s="5" t="s">
        <v>395</v>
      </c>
      <c r="CT164" s="5" t="s">
        <v>395</v>
      </c>
      <c r="CU164" s="5" t="s">
        <v>395</v>
      </c>
      <c r="CV164" s="5" t="s">
        <v>395</v>
      </c>
      <c r="CW164" s="5" t="s">
        <v>395</v>
      </c>
      <c r="CX164" s="5" t="s">
        <v>395</v>
      </c>
      <c r="CY164" s="252" t="s">
        <v>395</v>
      </c>
    </row>
    <row r="165" spans="1:103" x14ac:dyDescent="0.3">
      <c r="A165" s="26" t="s">
        <v>22</v>
      </c>
      <c r="B165" s="14" t="s">
        <v>22</v>
      </c>
      <c r="C165" s="14" t="s">
        <v>20</v>
      </c>
      <c r="G165" s="22">
        <v>42251</v>
      </c>
      <c r="H165" s="16">
        <v>2015</v>
      </c>
      <c r="I165" s="121" t="s">
        <v>33</v>
      </c>
      <c r="J165" s="121">
        <v>10</v>
      </c>
      <c r="K165" s="251" t="s">
        <v>395</v>
      </c>
      <c r="L165" s="5" t="s">
        <v>395</v>
      </c>
      <c r="M165" s="5">
        <v>0.52</v>
      </c>
      <c r="N165" s="5">
        <v>1.3</v>
      </c>
      <c r="O165" s="5">
        <v>3</v>
      </c>
      <c r="P165" s="5">
        <v>2.4</v>
      </c>
      <c r="Q165" s="5">
        <v>5.5</v>
      </c>
      <c r="R165" s="5">
        <v>4.9000000000000004</v>
      </c>
      <c r="S165" s="5">
        <v>2.6</v>
      </c>
      <c r="T165" s="5">
        <f>SUM(M165:S165)</f>
        <v>20.220000000000002</v>
      </c>
      <c r="U165" s="5" t="s">
        <v>395</v>
      </c>
      <c r="V165" s="5">
        <f>0.5*0.024</f>
        <v>1.2E-2</v>
      </c>
      <c r="W165" s="5">
        <v>0.15</v>
      </c>
      <c r="X165" s="5">
        <v>0.1</v>
      </c>
      <c r="Y165" s="5">
        <v>0.16</v>
      </c>
      <c r="Z165" s="5">
        <f>0.5*0.024</f>
        <v>1.2E-2</v>
      </c>
      <c r="AA165" s="5">
        <v>0.05</v>
      </c>
      <c r="AB165" s="5">
        <v>3.1E-2</v>
      </c>
      <c r="AC165" s="5">
        <f t="shared" ref="AC165:AC174" si="131">0.5*0.1</f>
        <v>0.05</v>
      </c>
      <c r="AD165" s="5">
        <f>SUM(V165:AC165)</f>
        <v>0.56500000000000006</v>
      </c>
      <c r="AE165" s="5">
        <f>SUM(V165,W165,Y165,X165,AB165,AA165)</f>
        <v>0.50300000000000011</v>
      </c>
      <c r="AF165" s="5">
        <f t="shared" ref="AF165:AF174" si="132">0.5*0.1</f>
        <v>0.05</v>
      </c>
      <c r="AG165" s="250" t="s">
        <v>395</v>
      </c>
      <c r="AH165" s="250">
        <v>17.810970636215334</v>
      </c>
      <c r="AI165" s="5">
        <f>0.5*0.1</f>
        <v>0.05</v>
      </c>
      <c r="AJ165" s="5">
        <f>0.5*0.1</f>
        <v>0.05</v>
      </c>
      <c r="AK165" s="5">
        <f t="shared" ref="AK165:AK174" si="133">0.5*0.02</f>
        <v>0.01</v>
      </c>
      <c r="AL165" s="5">
        <f t="shared" ref="AL165:AM171" si="134">0.5*0.1</f>
        <v>0.05</v>
      </c>
      <c r="AM165" s="5">
        <f t="shared" si="134"/>
        <v>0.05</v>
      </c>
      <c r="AN165" s="5">
        <v>0.58049806280587268</v>
      </c>
      <c r="AO165" s="5">
        <v>0.35098898858075034</v>
      </c>
      <c r="AP165" s="5">
        <f t="shared" ref="AP165:AP174" si="135">0.5*0.01</f>
        <v>5.0000000000000001E-3</v>
      </c>
      <c r="AQ165" s="5">
        <v>0.62009074225122351</v>
      </c>
      <c r="AR165" s="5">
        <v>6.7546900489396419E-2</v>
      </c>
      <c r="AS165" s="5" t="s">
        <v>395</v>
      </c>
      <c r="AT165" s="5" t="s">
        <v>395</v>
      </c>
      <c r="AU165" s="5" t="s">
        <v>395</v>
      </c>
      <c r="AV165" s="5" t="s">
        <v>395</v>
      </c>
      <c r="AW165" s="5" t="s">
        <v>395</v>
      </c>
      <c r="AX165" s="5" t="s">
        <v>395</v>
      </c>
      <c r="AY165" s="5" t="s">
        <v>395</v>
      </c>
      <c r="AZ165" s="5" t="s">
        <v>395</v>
      </c>
      <c r="BA165" s="5" t="s">
        <v>395</v>
      </c>
      <c r="BB165" s="5" t="s">
        <v>395</v>
      </c>
      <c r="BC165" s="5">
        <v>210</v>
      </c>
      <c r="BD165" s="5">
        <f t="shared" ref="BD165:BE167" si="136">0.5*0.1</f>
        <v>0.05</v>
      </c>
      <c r="BE165" s="5">
        <f t="shared" si="136"/>
        <v>0.05</v>
      </c>
      <c r="BF165" s="5">
        <v>0.14761991279069767</v>
      </c>
      <c r="BG165" s="5">
        <f>0.5*0.1</f>
        <v>0.05</v>
      </c>
      <c r="BH165" s="5">
        <v>0.2397937863372093</v>
      </c>
      <c r="BI165" s="5">
        <v>6.5649573037790701</v>
      </c>
      <c r="BJ165" s="5">
        <v>3.7922420058139537</v>
      </c>
      <c r="BK165" s="5">
        <f>0.5*0.01</f>
        <v>5.0000000000000001E-3</v>
      </c>
      <c r="BL165" s="5">
        <v>7.8546239098837223</v>
      </c>
      <c r="BM165" s="5">
        <v>0.34111555232558138</v>
      </c>
      <c r="BN165" s="5">
        <v>110</v>
      </c>
      <c r="BO165" s="5" t="s">
        <v>395</v>
      </c>
      <c r="BP165" s="5" t="s">
        <v>395</v>
      </c>
      <c r="BQ165" s="5" t="s">
        <v>395</v>
      </c>
      <c r="BR165" s="5" t="s">
        <v>395</v>
      </c>
      <c r="BS165" s="5" t="s">
        <v>395</v>
      </c>
      <c r="BT165" s="5" t="s">
        <v>395</v>
      </c>
      <c r="BU165" s="5" t="s">
        <v>395</v>
      </c>
      <c r="BV165" s="5" t="s">
        <v>395</v>
      </c>
      <c r="BW165" s="5" t="s">
        <v>395</v>
      </c>
      <c r="BX165" s="5" t="s">
        <v>395</v>
      </c>
      <c r="BY165" s="5" t="s">
        <v>395</v>
      </c>
      <c r="BZ165" s="5" t="s">
        <v>395</v>
      </c>
      <c r="CA165" s="5" t="s">
        <v>395</v>
      </c>
      <c r="CB165" s="5" t="s">
        <v>395</v>
      </c>
      <c r="CC165" s="5" t="s">
        <v>395</v>
      </c>
      <c r="CD165" s="5" t="s">
        <v>395</v>
      </c>
      <c r="CE165" s="5" t="s">
        <v>395</v>
      </c>
      <c r="CF165" s="5" t="s">
        <v>395</v>
      </c>
      <c r="CG165" s="5" t="s">
        <v>395</v>
      </c>
      <c r="CH165" s="5" t="s">
        <v>395</v>
      </c>
      <c r="CI165" s="5" t="s">
        <v>395</v>
      </c>
      <c r="CJ165" s="5" t="s">
        <v>395</v>
      </c>
      <c r="CK165" s="5" t="s">
        <v>395</v>
      </c>
      <c r="CL165" s="5" t="s">
        <v>395</v>
      </c>
      <c r="CM165" s="5" t="s">
        <v>395</v>
      </c>
      <c r="CN165" s="5" t="s">
        <v>395</v>
      </c>
      <c r="CO165" s="5" t="s">
        <v>395</v>
      </c>
      <c r="CP165" s="5" t="s">
        <v>395</v>
      </c>
      <c r="CQ165" s="5" t="s">
        <v>395</v>
      </c>
      <c r="CR165" s="5" t="s">
        <v>395</v>
      </c>
      <c r="CS165" s="5" t="s">
        <v>395</v>
      </c>
      <c r="CT165" s="5" t="s">
        <v>395</v>
      </c>
      <c r="CU165" s="5" t="s">
        <v>395</v>
      </c>
      <c r="CV165" s="5" t="s">
        <v>395</v>
      </c>
      <c r="CW165" s="5" t="s">
        <v>395</v>
      </c>
      <c r="CX165" s="5" t="s">
        <v>395</v>
      </c>
      <c r="CY165" s="252" t="s">
        <v>395</v>
      </c>
    </row>
    <row r="166" spans="1:103" x14ac:dyDescent="0.3">
      <c r="A166" s="26" t="s">
        <v>112</v>
      </c>
      <c r="B166" s="14" t="s">
        <v>24</v>
      </c>
      <c r="C166" s="14" t="s">
        <v>20</v>
      </c>
      <c r="G166" s="22">
        <v>42244</v>
      </c>
      <c r="H166" s="16">
        <v>2015</v>
      </c>
      <c r="I166" s="121" t="s">
        <v>33</v>
      </c>
      <c r="J166" s="121">
        <v>10</v>
      </c>
      <c r="K166" s="251" t="s">
        <v>395</v>
      </c>
      <c r="L166" s="5" t="s">
        <v>395</v>
      </c>
      <c r="M166" s="5">
        <v>0.56999999999999995</v>
      </c>
      <c r="N166" s="5">
        <v>1.4</v>
      </c>
      <c r="O166" s="5">
        <v>3.4</v>
      </c>
      <c r="P166" s="5">
        <v>2.8</v>
      </c>
      <c r="Q166" s="5">
        <v>5.3</v>
      </c>
      <c r="R166" s="5">
        <v>4.5999999999999996</v>
      </c>
      <c r="S166" s="5">
        <v>2</v>
      </c>
      <c r="T166" s="5">
        <f t="shared" ref="T166:T174" si="137">SUM(M166:S166)</f>
        <v>20.07</v>
      </c>
      <c r="U166" s="5" t="s">
        <v>395</v>
      </c>
      <c r="V166" s="5">
        <f>0.5*0.023</f>
        <v>1.15E-2</v>
      </c>
      <c r="W166" s="5">
        <v>0.17</v>
      </c>
      <c r="X166" s="5">
        <v>5.8000000000000003E-2</v>
      </c>
      <c r="Y166" s="5">
        <v>9.0999999999999998E-2</v>
      </c>
      <c r="Z166" s="5">
        <f>0.5*0.023</f>
        <v>1.15E-2</v>
      </c>
      <c r="AA166" s="5">
        <v>3.9E-2</v>
      </c>
      <c r="AB166" s="5">
        <f>0.5*0.023</f>
        <v>1.15E-2</v>
      </c>
      <c r="AC166" s="5">
        <f t="shared" si="131"/>
        <v>0.05</v>
      </c>
      <c r="AD166" s="5">
        <f t="shared" ref="AD166:AD174" si="138">SUM(V166:AC166)</f>
        <v>0.4425</v>
      </c>
      <c r="AE166" s="5">
        <f t="shared" si="87"/>
        <v>0.38100000000000001</v>
      </c>
      <c r="AF166" s="5">
        <f t="shared" si="132"/>
        <v>0.05</v>
      </c>
      <c r="AG166" s="250" t="s">
        <v>395</v>
      </c>
      <c r="AH166" s="250">
        <v>17.067451420029897</v>
      </c>
      <c r="AI166" s="5">
        <f t="shared" ref="AI166:AI174" si="139">0.5*0.1</f>
        <v>0.05</v>
      </c>
      <c r="AJ166" s="5">
        <v>0.2</v>
      </c>
      <c r="AK166" s="5">
        <f t="shared" si="133"/>
        <v>0.01</v>
      </c>
      <c r="AL166" s="5">
        <f t="shared" si="134"/>
        <v>0.05</v>
      </c>
      <c r="AM166" s="5">
        <f t="shared" si="134"/>
        <v>0.05</v>
      </c>
      <c r="AN166" s="5">
        <v>1.1148659379671151</v>
      </c>
      <c r="AO166" s="5">
        <v>0.57291666666666663</v>
      </c>
      <c r="AP166" s="5">
        <f t="shared" si="135"/>
        <v>5.0000000000000001E-3</v>
      </c>
      <c r="AQ166" s="5">
        <v>1.2548439835575487</v>
      </c>
      <c r="AR166" s="5">
        <f>0.5*0.02</f>
        <v>0.01</v>
      </c>
      <c r="AS166" s="5" t="s">
        <v>395</v>
      </c>
      <c r="AT166" s="5" t="s">
        <v>395</v>
      </c>
      <c r="AU166" s="5" t="s">
        <v>395</v>
      </c>
      <c r="AV166" s="5" t="s">
        <v>395</v>
      </c>
      <c r="AW166" s="5" t="s">
        <v>395</v>
      </c>
      <c r="AX166" s="5" t="s">
        <v>395</v>
      </c>
      <c r="AY166" s="5" t="s">
        <v>395</v>
      </c>
      <c r="AZ166" s="5" t="s">
        <v>395</v>
      </c>
      <c r="BA166" s="5" t="s">
        <v>395</v>
      </c>
      <c r="BB166" s="5" t="s">
        <v>395</v>
      </c>
      <c r="BC166" s="5">
        <v>200</v>
      </c>
      <c r="BD166" s="5">
        <f t="shared" si="136"/>
        <v>0.05</v>
      </c>
      <c r="BE166" s="5">
        <f t="shared" si="136"/>
        <v>0.05</v>
      </c>
      <c r="BF166" s="5">
        <v>0.28710087082728586</v>
      </c>
      <c r="BG166" s="5">
        <f>0.5*0.1</f>
        <v>0.05</v>
      </c>
      <c r="BH166" s="5">
        <v>0.32290003628447023</v>
      </c>
      <c r="BI166" s="5">
        <v>10.093164912917272</v>
      </c>
      <c r="BJ166" s="5">
        <v>2.7707728592162555</v>
      </c>
      <c r="BK166" s="5">
        <f>0.5*0.01</f>
        <v>5.0000000000000001E-3</v>
      </c>
      <c r="BL166" s="5">
        <v>10.510132438316401</v>
      </c>
      <c r="BM166" s="5">
        <v>0.1809687953555878</v>
      </c>
      <c r="BN166" s="5">
        <v>200</v>
      </c>
      <c r="BO166" s="5" t="s">
        <v>395</v>
      </c>
      <c r="BP166" s="5" t="s">
        <v>395</v>
      </c>
      <c r="BQ166" s="5" t="s">
        <v>395</v>
      </c>
      <c r="BR166" s="5" t="s">
        <v>395</v>
      </c>
      <c r="BS166" s="5" t="s">
        <v>395</v>
      </c>
      <c r="BT166" s="5" t="s">
        <v>395</v>
      </c>
      <c r="BU166" s="5" t="s">
        <v>395</v>
      </c>
      <c r="BV166" s="5" t="s">
        <v>395</v>
      </c>
      <c r="BW166" s="5" t="s">
        <v>395</v>
      </c>
      <c r="BX166" s="5" t="s">
        <v>395</v>
      </c>
      <c r="BY166" s="5" t="s">
        <v>395</v>
      </c>
      <c r="BZ166" s="5" t="s">
        <v>395</v>
      </c>
      <c r="CA166" s="5" t="s">
        <v>395</v>
      </c>
      <c r="CB166" s="5" t="s">
        <v>395</v>
      </c>
      <c r="CC166" s="5" t="s">
        <v>395</v>
      </c>
      <c r="CD166" s="5" t="s">
        <v>395</v>
      </c>
      <c r="CE166" s="5" t="s">
        <v>395</v>
      </c>
      <c r="CF166" s="5" t="s">
        <v>395</v>
      </c>
      <c r="CG166" s="5" t="s">
        <v>395</v>
      </c>
      <c r="CH166" s="5" t="s">
        <v>395</v>
      </c>
      <c r="CI166" s="5" t="s">
        <v>395</v>
      </c>
      <c r="CJ166" s="5" t="s">
        <v>395</v>
      </c>
      <c r="CK166" s="5" t="s">
        <v>395</v>
      </c>
      <c r="CL166" s="5" t="s">
        <v>395</v>
      </c>
      <c r="CM166" s="5" t="s">
        <v>395</v>
      </c>
      <c r="CN166" s="5" t="s">
        <v>395</v>
      </c>
      <c r="CO166" s="5" t="s">
        <v>395</v>
      </c>
      <c r="CP166" s="5" t="s">
        <v>395</v>
      </c>
      <c r="CQ166" s="5" t="s">
        <v>395</v>
      </c>
      <c r="CR166" s="5" t="s">
        <v>395</v>
      </c>
      <c r="CS166" s="5" t="s">
        <v>395</v>
      </c>
      <c r="CT166" s="5" t="s">
        <v>395</v>
      </c>
      <c r="CU166" s="5" t="s">
        <v>395</v>
      </c>
      <c r="CV166" s="5" t="s">
        <v>395</v>
      </c>
      <c r="CW166" s="5" t="s">
        <v>395</v>
      </c>
      <c r="CX166" s="5" t="s">
        <v>395</v>
      </c>
      <c r="CY166" s="252" t="s">
        <v>395</v>
      </c>
    </row>
    <row r="167" spans="1:103" x14ac:dyDescent="0.3">
      <c r="A167" s="26" t="s">
        <v>21</v>
      </c>
      <c r="B167" s="14" t="s">
        <v>21</v>
      </c>
      <c r="C167" s="14" t="s">
        <v>20</v>
      </c>
      <c r="G167" s="22">
        <v>42248</v>
      </c>
      <c r="H167" s="16">
        <v>2015</v>
      </c>
      <c r="I167" s="121" t="s">
        <v>33</v>
      </c>
      <c r="J167" s="121">
        <v>10</v>
      </c>
      <c r="K167" s="251" t="s">
        <v>395</v>
      </c>
      <c r="L167" s="5" t="s">
        <v>395</v>
      </c>
      <c r="M167" s="5">
        <f>0.5*0.04</f>
        <v>0.02</v>
      </c>
      <c r="N167" s="5">
        <f>0.5*0.05</f>
        <v>2.5000000000000001E-2</v>
      </c>
      <c r="O167" s="5">
        <v>0.6</v>
      </c>
      <c r="P167" s="5">
        <v>0.43</v>
      </c>
      <c r="Q167" s="5">
        <v>1.9</v>
      </c>
      <c r="R167" s="5">
        <v>1.5</v>
      </c>
      <c r="S167" s="5">
        <v>0.88</v>
      </c>
      <c r="T167" s="5">
        <f t="shared" si="137"/>
        <v>5.3549999999999995</v>
      </c>
      <c r="U167" s="5" t="s">
        <v>395</v>
      </c>
      <c r="V167" s="5">
        <f>0.5*0.024</f>
        <v>1.2E-2</v>
      </c>
      <c r="W167" s="5">
        <v>6.0999999999999999E-2</v>
      </c>
      <c r="X167" s="5">
        <v>3.1E-2</v>
      </c>
      <c r="Y167" s="5">
        <v>5.5E-2</v>
      </c>
      <c r="Z167" s="5">
        <f>0.5*0.024</f>
        <v>1.2E-2</v>
      </c>
      <c r="AA167" s="5">
        <v>3.4000000000000002E-2</v>
      </c>
      <c r="AB167" s="5">
        <f>0.5*0.024</f>
        <v>1.2E-2</v>
      </c>
      <c r="AC167" s="5">
        <f t="shared" si="131"/>
        <v>0.05</v>
      </c>
      <c r="AD167" s="5">
        <f t="shared" si="138"/>
        <v>0.26700000000000002</v>
      </c>
      <c r="AE167" s="5">
        <f t="shared" si="87"/>
        <v>0.20500000000000002</v>
      </c>
      <c r="AF167" s="5">
        <f t="shared" si="132"/>
        <v>0.05</v>
      </c>
      <c r="AG167" s="250" t="s">
        <v>395</v>
      </c>
      <c r="AH167" s="250">
        <v>29.020143739244862</v>
      </c>
      <c r="AI167" s="5">
        <f t="shared" si="139"/>
        <v>0.05</v>
      </c>
      <c r="AJ167" s="5">
        <f t="shared" ref="AJ167:AJ174" si="140">0.5*0.1</f>
        <v>0.05</v>
      </c>
      <c r="AK167" s="5">
        <f t="shared" si="133"/>
        <v>0.01</v>
      </c>
      <c r="AL167" s="5">
        <f t="shared" si="134"/>
        <v>0.05</v>
      </c>
      <c r="AM167" s="5">
        <f t="shared" si="134"/>
        <v>0.05</v>
      </c>
      <c r="AN167" s="5">
        <v>1.0358867294260554</v>
      </c>
      <c r="AO167" s="5">
        <v>0.51245065290009106</v>
      </c>
      <c r="AP167" s="5">
        <f t="shared" si="135"/>
        <v>5.0000000000000001E-3</v>
      </c>
      <c r="AQ167" s="5">
        <v>0.65511185342646017</v>
      </c>
      <c r="AR167" s="5">
        <v>0.12324121874683672</v>
      </c>
      <c r="AS167" s="5" t="s">
        <v>395</v>
      </c>
      <c r="AT167" s="5" t="s">
        <v>395</v>
      </c>
      <c r="AU167" s="5" t="s">
        <v>395</v>
      </c>
      <c r="AV167" s="5" t="s">
        <v>395</v>
      </c>
      <c r="AW167" s="5" t="s">
        <v>395</v>
      </c>
      <c r="AX167" s="5" t="s">
        <v>395</v>
      </c>
      <c r="AY167" s="5" t="s">
        <v>395</v>
      </c>
      <c r="AZ167" s="5" t="s">
        <v>395</v>
      </c>
      <c r="BA167" s="5" t="s">
        <v>395</v>
      </c>
      <c r="BB167" s="5" t="s">
        <v>395</v>
      </c>
      <c r="BC167" s="5">
        <v>520</v>
      </c>
      <c r="BD167" s="5">
        <f t="shared" si="136"/>
        <v>0.05</v>
      </c>
      <c r="BE167" s="5">
        <f t="shared" si="136"/>
        <v>0.05</v>
      </c>
      <c r="BF167" s="5">
        <v>0.55040733197556002</v>
      </c>
      <c r="BG167" s="5">
        <f>0.5*0.1</f>
        <v>0.05</v>
      </c>
      <c r="BH167" s="5">
        <v>0.44802953156822811</v>
      </c>
      <c r="BI167" s="5">
        <v>12.002754582484727</v>
      </c>
      <c r="BJ167" s="5">
        <v>8.9760692464358467</v>
      </c>
      <c r="BK167" s="5">
        <f>0.5*0.01</f>
        <v>5.0000000000000001E-3</v>
      </c>
      <c r="BL167" s="5">
        <v>7.6846945010183294</v>
      </c>
      <c r="BM167" s="5">
        <v>0.49439918533604893</v>
      </c>
      <c r="BN167" s="5">
        <v>70</v>
      </c>
      <c r="BO167" s="5" t="s">
        <v>395</v>
      </c>
      <c r="BP167" s="5" t="s">
        <v>395</v>
      </c>
      <c r="BQ167" s="5" t="s">
        <v>395</v>
      </c>
      <c r="BR167" s="5" t="s">
        <v>395</v>
      </c>
      <c r="BS167" s="5" t="s">
        <v>395</v>
      </c>
      <c r="BT167" s="5" t="s">
        <v>395</v>
      </c>
      <c r="BU167" s="5" t="s">
        <v>395</v>
      </c>
      <c r="BV167" s="5" t="s">
        <v>395</v>
      </c>
      <c r="BW167" s="5" t="s">
        <v>395</v>
      </c>
      <c r="BX167" s="5" t="s">
        <v>395</v>
      </c>
      <c r="BY167" s="5" t="s">
        <v>395</v>
      </c>
      <c r="BZ167" s="5" t="s">
        <v>395</v>
      </c>
      <c r="CA167" s="5" t="s">
        <v>395</v>
      </c>
      <c r="CB167" s="5" t="s">
        <v>395</v>
      </c>
      <c r="CC167" s="5" t="s">
        <v>395</v>
      </c>
      <c r="CD167" s="5" t="s">
        <v>395</v>
      </c>
      <c r="CE167" s="5" t="s">
        <v>395</v>
      </c>
      <c r="CF167" s="5" t="s">
        <v>395</v>
      </c>
      <c r="CG167" s="5" t="s">
        <v>395</v>
      </c>
      <c r="CH167" s="5" t="s">
        <v>395</v>
      </c>
      <c r="CI167" s="5" t="s">
        <v>395</v>
      </c>
      <c r="CJ167" s="5" t="s">
        <v>395</v>
      </c>
      <c r="CK167" s="5" t="s">
        <v>395</v>
      </c>
      <c r="CL167" s="5" t="s">
        <v>395</v>
      </c>
      <c r="CM167" s="5" t="s">
        <v>395</v>
      </c>
      <c r="CN167" s="5" t="s">
        <v>395</v>
      </c>
      <c r="CO167" s="5" t="s">
        <v>395</v>
      </c>
      <c r="CP167" s="5" t="s">
        <v>395</v>
      </c>
      <c r="CQ167" s="5" t="s">
        <v>395</v>
      </c>
      <c r="CR167" s="5" t="s">
        <v>395</v>
      </c>
      <c r="CS167" s="5" t="s">
        <v>395</v>
      </c>
      <c r="CT167" s="5" t="s">
        <v>395</v>
      </c>
      <c r="CU167" s="5" t="s">
        <v>395</v>
      </c>
      <c r="CV167" s="5" t="s">
        <v>395</v>
      </c>
      <c r="CW167" s="5" t="s">
        <v>395</v>
      </c>
      <c r="CX167" s="5" t="s">
        <v>395</v>
      </c>
      <c r="CY167" s="252" t="s">
        <v>395</v>
      </c>
    </row>
    <row r="168" spans="1:103" x14ac:dyDescent="0.3">
      <c r="A168" s="26" t="s">
        <v>23</v>
      </c>
      <c r="B168" s="14" t="s">
        <v>115</v>
      </c>
      <c r="C168" s="14" t="s">
        <v>20</v>
      </c>
      <c r="D168" s="14" t="s">
        <v>124</v>
      </c>
      <c r="G168" s="22">
        <v>42298</v>
      </c>
      <c r="H168" s="16">
        <v>2015</v>
      </c>
      <c r="I168" s="121" t="s">
        <v>33</v>
      </c>
      <c r="J168" s="121">
        <v>10</v>
      </c>
      <c r="K168" s="251" t="s">
        <v>395</v>
      </c>
      <c r="L168" s="5" t="s">
        <v>395</v>
      </c>
      <c r="M168" s="5">
        <v>0.48</v>
      </c>
      <c r="N168" s="5">
        <v>2.2000000000000002</v>
      </c>
      <c r="O168" s="5">
        <v>5.3</v>
      </c>
      <c r="P168" s="5">
        <v>3.5</v>
      </c>
      <c r="Q168" s="5">
        <v>6.2</v>
      </c>
      <c r="R168" s="5">
        <v>5.9</v>
      </c>
      <c r="S168" s="5">
        <v>2.2999999999999998</v>
      </c>
      <c r="T168" s="5">
        <f t="shared" si="137"/>
        <v>25.88</v>
      </c>
      <c r="U168" s="5" t="s">
        <v>395</v>
      </c>
      <c r="V168" s="5">
        <f>0.5*0.024</f>
        <v>1.2E-2</v>
      </c>
      <c r="W168" s="5">
        <v>3.5999999999999997E-2</v>
      </c>
      <c r="X168" s="5">
        <f>0.5*0.019</f>
        <v>9.4999999999999998E-3</v>
      </c>
      <c r="Y168" s="5">
        <v>3.9E-2</v>
      </c>
      <c r="Z168" s="5">
        <f>0.5*0.024</f>
        <v>1.2E-2</v>
      </c>
      <c r="AA168" s="5">
        <v>3.6999999999999998E-2</v>
      </c>
      <c r="AB168" s="5">
        <f>0.5*0.024</f>
        <v>1.2E-2</v>
      </c>
      <c r="AC168" s="5">
        <f t="shared" si="131"/>
        <v>0.05</v>
      </c>
      <c r="AD168" s="5">
        <f t="shared" si="138"/>
        <v>0.20750000000000002</v>
      </c>
      <c r="AE168" s="5">
        <f t="shared" si="87"/>
        <v>0.14549999999999999</v>
      </c>
      <c r="AF168" s="5">
        <f t="shared" si="132"/>
        <v>0.05</v>
      </c>
      <c r="AG168" s="250" t="s">
        <v>395</v>
      </c>
      <c r="AH168" s="250">
        <v>16.593638896896323</v>
      </c>
      <c r="AI168" s="5">
        <f t="shared" si="139"/>
        <v>0.05</v>
      </c>
      <c r="AJ168" s="5">
        <f t="shared" si="140"/>
        <v>0.05</v>
      </c>
      <c r="AK168" s="5">
        <f t="shared" si="133"/>
        <v>0.01</v>
      </c>
      <c r="AL168" s="5">
        <f t="shared" si="134"/>
        <v>0.05</v>
      </c>
      <c r="AM168" s="5">
        <f t="shared" si="134"/>
        <v>0.05</v>
      </c>
      <c r="AN168" s="5">
        <v>0.87475016815604889</v>
      </c>
      <c r="AO168" s="5">
        <v>6.5580859037186495E-2</v>
      </c>
      <c r="AP168" s="5">
        <f t="shared" si="135"/>
        <v>5.0000000000000001E-3</v>
      </c>
      <c r="AQ168" s="5">
        <v>0.80732679926972228</v>
      </c>
      <c r="AR168" s="5">
        <v>0.16503315076390893</v>
      </c>
      <c r="AS168" s="5" t="s">
        <v>395</v>
      </c>
      <c r="AT168" s="5" t="s">
        <v>395</v>
      </c>
      <c r="AU168" s="5" t="s">
        <v>395</v>
      </c>
      <c r="AV168" s="5" t="s">
        <v>395</v>
      </c>
      <c r="AW168" s="5" t="s">
        <v>395</v>
      </c>
      <c r="AX168" s="5" t="s">
        <v>395</v>
      </c>
      <c r="AY168" s="5" t="s">
        <v>395</v>
      </c>
      <c r="AZ168" s="5" t="s">
        <v>395</v>
      </c>
      <c r="BA168" s="5" t="s">
        <v>395</v>
      </c>
      <c r="BB168" s="5" t="s">
        <v>395</v>
      </c>
      <c r="BC168" s="5" t="s">
        <v>395</v>
      </c>
      <c r="BD168" s="5" t="s">
        <v>395</v>
      </c>
      <c r="BE168" s="5" t="s">
        <v>395</v>
      </c>
      <c r="BF168" s="5" t="s">
        <v>395</v>
      </c>
      <c r="BG168" s="5" t="s">
        <v>395</v>
      </c>
      <c r="BH168" s="5" t="s">
        <v>395</v>
      </c>
      <c r="BI168" s="5" t="s">
        <v>395</v>
      </c>
      <c r="BJ168" s="5" t="s">
        <v>395</v>
      </c>
      <c r="BK168" s="5" t="s">
        <v>395</v>
      </c>
      <c r="BL168" s="5" t="s">
        <v>395</v>
      </c>
      <c r="BM168" s="5" t="s">
        <v>395</v>
      </c>
      <c r="BN168" s="5">
        <v>520</v>
      </c>
      <c r="BO168" s="5" t="s">
        <v>395</v>
      </c>
      <c r="BP168" s="5" t="s">
        <v>395</v>
      </c>
      <c r="BQ168" s="5" t="s">
        <v>395</v>
      </c>
      <c r="BR168" s="5" t="s">
        <v>395</v>
      </c>
      <c r="BS168" s="5" t="s">
        <v>395</v>
      </c>
      <c r="BT168" s="5" t="s">
        <v>395</v>
      </c>
      <c r="BU168" s="5" t="s">
        <v>395</v>
      </c>
      <c r="BV168" s="5" t="s">
        <v>395</v>
      </c>
      <c r="BW168" s="5" t="s">
        <v>395</v>
      </c>
      <c r="BX168" s="5" t="s">
        <v>395</v>
      </c>
      <c r="BY168" s="5" t="s">
        <v>395</v>
      </c>
      <c r="BZ168" s="5" t="s">
        <v>395</v>
      </c>
      <c r="CA168" s="5" t="s">
        <v>395</v>
      </c>
      <c r="CB168" s="5" t="s">
        <v>395</v>
      </c>
      <c r="CC168" s="5" t="s">
        <v>395</v>
      </c>
      <c r="CD168" s="5" t="s">
        <v>395</v>
      </c>
      <c r="CE168" s="5" t="s">
        <v>395</v>
      </c>
      <c r="CF168" s="5" t="s">
        <v>395</v>
      </c>
      <c r="CG168" s="5" t="s">
        <v>395</v>
      </c>
      <c r="CH168" s="5" t="s">
        <v>395</v>
      </c>
      <c r="CI168" s="5" t="s">
        <v>395</v>
      </c>
      <c r="CJ168" s="5" t="s">
        <v>395</v>
      </c>
      <c r="CK168" s="5" t="s">
        <v>395</v>
      </c>
      <c r="CL168" s="5" t="s">
        <v>395</v>
      </c>
      <c r="CM168" s="5" t="s">
        <v>395</v>
      </c>
      <c r="CN168" s="5" t="s">
        <v>395</v>
      </c>
      <c r="CO168" s="5" t="s">
        <v>395</v>
      </c>
      <c r="CP168" s="5" t="s">
        <v>395</v>
      </c>
      <c r="CQ168" s="5" t="s">
        <v>395</v>
      </c>
      <c r="CR168" s="5" t="s">
        <v>395</v>
      </c>
      <c r="CS168" s="5" t="s">
        <v>395</v>
      </c>
      <c r="CT168" s="5" t="s">
        <v>395</v>
      </c>
      <c r="CU168" s="5" t="s">
        <v>395</v>
      </c>
      <c r="CV168" s="5" t="s">
        <v>395</v>
      </c>
      <c r="CW168" s="5" t="s">
        <v>395</v>
      </c>
      <c r="CX168" s="5" t="s">
        <v>395</v>
      </c>
      <c r="CY168" s="252" t="s">
        <v>395</v>
      </c>
    </row>
    <row r="169" spans="1:103" x14ac:dyDescent="0.3">
      <c r="A169" s="26" t="s">
        <v>23</v>
      </c>
      <c r="B169" s="14" t="s">
        <v>116</v>
      </c>
      <c r="C169" s="14" t="s">
        <v>20</v>
      </c>
      <c r="D169" s="14" t="s">
        <v>165</v>
      </c>
      <c r="G169" s="22">
        <v>42298</v>
      </c>
      <c r="H169" s="16">
        <v>2015</v>
      </c>
      <c r="I169" s="121" t="s">
        <v>33</v>
      </c>
      <c r="J169" s="121">
        <v>10</v>
      </c>
      <c r="K169" s="251" t="s">
        <v>395</v>
      </c>
      <c r="L169" s="5" t="s">
        <v>395</v>
      </c>
      <c r="M169" s="5">
        <v>0.35</v>
      </c>
      <c r="N169" s="5">
        <v>2</v>
      </c>
      <c r="O169" s="5">
        <v>5.9</v>
      </c>
      <c r="P169" s="5">
        <v>3.2</v>
      </c>
      <c r="Q169" s="5">
        <v>6.8</v>
      </c>
      <c r="R169" s="5">
        <v>5.8</v>
      </c>
      <c r="S169" s="5">
        <v>2.8</v>
      </c>
      <c r="T169" s="5">
        <f t="shared" si="137"/>
        <v>26.85</v>
      </c>
      <c r="U169" s="5" t="s">
        <v>395</v>
      </c>
      <c r="V169" s="5">
        <f>0.5*0.024</f>
        <v>1.2E-2</v>
      </c>
      <c r="W169" s="5">
        <v>5.2999999999999999E-2</v>
      </c>
      <c r="X169" s="5">
        <v>3.5000000000000003E-2</v>
      </c>
      <c r="Y169" s="5">
        <v>2.8000000000000001E-2</v>
      </c>
      <c r="Z169" s="5">
        <f>0.5*0.024</f>
        <v>1.2E-2</v>
      </c>
      <c r="AA169" s="5">
        <f>0.5*0.024</f>
        <v>1.2E-2</v>
      </c>
      <c r="AB169" s="5">
        <f>0.5*0.024</f>
        <v>1.2E-2</v>
      </c>
      <c r="AC169" s="5">
        <f t="shared" si="131"/>
        <v>0.05</v>
      </c>
      <c r="AD169" s="5">
        <f t="shared" si="138"/>
        <v>0.21400000000000002</v>
      </c>
      <c r="AE169" s="5">
        <f t="shared" si="87"/>
        <v>0.15200000000000002</v>
      </c>
      <c r="AF169" s="5">
        <f t="shared" si="132"/>
        <v>0.05</v>
      </c>
      <c r="AG169" s="250" t="s">
        <v>395</v>
      </c>
      <c r="AH169" s="250">
        <v>15.003734827264239</v>
      </c>
      <c r="AI169" s="5">
        <f t="shared" si="139"/>
        <v>0.05</v>
      </c>
      <c r="AJ169" s="5">
        <f t="shared" si="140"/>
        <v>0.05</v>
      </c>
      <c r="AK169" s="5">
        <f t="shared" si="133"/>
        <v>0.01</v>
      </c>
      <c r="AL169" s="5">
        <f t="shared" si="134"/>
        <v>0.05</v>
      </c>
      <c r="AM169" s="5">
        <f t="shared" si="134"/>
        <v>0.05</v>
      </c>
      <c r="AN169" s="5">
        <v>1.0675560224089635</v>
      </c>
      <c r="AO169" s="5">
        <v>0.22432306255835666</v>
      </c>
      <c r="AP169" s="5">
        <f t="shared" si="135"/>
        <v>5.0000000000000001E-3</v>
      </c>
      <c r="AQ169" s="5">
        <v>0.78075163398692815</v>
      </c>
      <c r="AR169" s="5">
        <v>0.12394957983193279</v>
      </c>
      <c r="AS169" s="5" t="s">
        <v>395</v>
      </c>
      <c r="AT169" s="5" t="s">
        <v>395</v>
      </c>
      <c r="AU169" s="5" t="s">
        <v>395</v>
      </c>
      <c r="AV169" s="5" t="s">
        <v>395</v>
      </c>
      <c r="AW169" s="5" t="s">
        <v>395</v>
      </c>
      <c r="AX169" s="5" t="s">
        <v>395</v>
      </c>
      <c r="AY169" s="5" t="s">
        <v>395</v>
      </c>
      <c r="AZ169" s="5" t="s">
        <v>395</v>
      </c>
      <c r="BA169" s="5" t="s">
        <v>395</v>
      </c>
      <c r="BB169" s="5" t="s">
        <v>395</v>
      </c>
      <c r="BC169" s="5">
        <v>140</v>
      </c>
      <c r="BD169" s="5">
        <f t="shared" ref="BD169:BE174" si="141">0.5*0.1</f>
        <v>0.05</v>
      </c>
      <c r="BE169" s="5">
        <f t="shared" si="141"/>
        <v>0.05</v>
      </c>
      <c r="BF169" s="5">
        <v>0.1107142857142857</v>
      </c>
      <c r="BG169" s="5">
        <f t="shared" ref="BG169:BG174" si="142">0.5*0.1</f>
        <v>0.05</v>
      </c>
      <c r="BH169" s="5">
        <v>0.40404591836734693</v>
      </c>
      <c r="BI169" s="5">
        <v>4.6803112244897953</v>
      </c>
      <c r="BJ169" s="5">
        <v>1.7086734693877552</v>
      </c>
      <c r="BK169" s="5">
        <f>0.5*0.01</f>
        <v>5.0000000000000001E-3</v>
      </c>
      <c r="BL169" s="5">
        <v>3.6187448979591839</v>
      </c>
      <c r="BM169" s="5">
        <v>0.4076530612244898</v>
      </c>
      <c r="BN169" s="5">
        <v>440</v>
      </c>
      <c r="BO169" s="5" t="s">
        <v>395</v>
      </c>
      <c r="BP169" s="5" t="s">
        <v>395</v>
      </c>
      <c r="BQ169" s="5" t="s">
        <v>395</v>
      </c>
      <c r="BR169" s="5" t="s">
        <v>395</v>
      </c>
      <c r="BS169" s="5" t="s">
        <v>395</v>
      </c>
      <c r="BT169" s="5" t="s">
        <v>395</v>
      </c>
      <c r="BU169" s="5" t="s">
        <v>395</v>
      </c>
      <c r="BV169" s="5" t="s">
        <v>395</v>
      </c>
      <c r="BW169" s="5" t="s">
        <v>395</v>
      </c>
      <c r="BX169" s="5" t="s">
        <v>395</v>
      </c>
      <c r="BY169" s="5" t="s">
        <v>395</v>
      </c>
      <c r="BZ169" s="5" t="s">
        <v>395</v>
      </c>
      <c r="CA169" s="5" t="s">
        <v>395</v>
      </c>
      <c r="CB169" s="5" t="s">
        <v>395</v>
      </c>
      <c r="CC169" s="5" t="s">
        <v>395</v>
      </c>
      <c r="CD169" s="5" t="s">
        <v>395</v>
      </c>
      <c r="CE169" s="5" t="s">
        <v>395</v>
      </c>
      <c r="CF169" s="5" t="s">
        <v>395</v>
      </c>
      <c r="CG169" s="5" t="s">
        <v>395</v>
      </c>
      <c r="CH169" s="5" t="s">
        <v>395</v>
      </c>
      <c r="CI169" s="5" t="s">
        <v>395</v>
      </c>
      <c r="CJ169" s="5" t="s">
        <v>395</v>
      </c>
      <c r="CK169" s="5" t="s">
        <v>395</v>
      </c>
      <c r="CL169" s="5" t="s">
        <v>395</v>
      </c>
      <c r="CM169" s="5" t="s">
        <v>395</v>
      </c>
      <c r="CN169" s="5" t="s">
        <v>395</v>
      </c>
      <c r="CO169" s="5" t="s">
        <v>395</v>
      </c>
      <c r="CP169" s="5" t="s">
        <v>395</v>
      </c>
      <c r="CQ169" s="5" t="s">
        <v>395</v>
      </c>
      <c r="CR169" s="5" t="s">
        <v>395</v>
      </c>
      <c r="CS169" s="5" t="s">
        <v>395</v>
      </c>
      <c r="CT169" s="5" t="s">
        <v>395</v>
      </c>
      <c r="CU169" s="5" t="s">
        <v>395</v>
      </c>
      <c r="CV169" s="5" t="s">
        <v>395</v>
      </c>
      <c r="CW169" s="5" t="s">
        <v>395</v>
      </c>
      <c r="CX169" s="5" t="s">
        <v>395</v>
      </c>
      <c r="CY169" s="252" t="s">
        <v>395</v>
      </c>
    </row>
    <row r="170" spans="1:103" x14ac:dyDescent="0.3">
      <c r="A170" s="26" t="s">
        <v>5</v>
      </c>
      <c r="B170" s="14" t="s">
        <v>5</v>
      </c>
      <c r="C170" s="14" t="s">
        <v>20</v>
      </c>
      <c r="G170" s="22">
        <v>42264</v>
      </c>
      <c r="H170" s="16">
        <v>2015</v>
      </c>
      <c r="I170" s="121" t="s">
        <v>33</v>
      </c>
      <c r="J170" s="121">
        <v>10</v>
      </c>
      <c r="K170" s="251" t="s">
        <v>395</v>
      </c>
      <c r="L170" s="5" t="s">
        <v>395</v>
      </c>
      <c r="M170" s="5">
        <v>0.79</v>
      </c>
      <c r="N170" s="5">
        <v>1.8</v>
      </c>
      <c r="O170" s="5">
        <v>3.3</v>
      </c>
      <c r="P170" s="5">
        <v>2.5</v>
      </c>
      <c r="Q170" s="5">
        <v>3.6</v>
      </c>
      <c r="R170" s="5">
        <v>3.5</v>
      </c>
      <c r="S170" s="5">
        <v>1.4</v>
      </c>
      <c r="T170" s="5">
        <f t="shared" si="137"/>
        <v>16.89</v>
      </c>
      <c r="U170" s="5" t="s">
        <v>395</v>
      </c>
      <c r="V170" s="5">
        <f>0.5*0.025</f>
        <v>1.2500000000000001E-2</v>
      </c>
      <c r="W170" s="5">
        <v>0.14000000000000001</v>
      </c>
      <c r="X170" s="5">
        <v>6.9000000000000006E-2</v>
      </c>
      <c r="Y170" s="5">
        <v>0.14000000000000001</v>
      </c>
      <c r="Z170" s="5">
        <f>0.5*0.025</f>
        <v>1.2500000000000001E-2</v>
      </c>
      <c r="AA170" s="5">
        <v>4.1000000000000002E-2</v>
      </c>
      <c r="AB170" s="5">
        <f>0.5*0.025</f>
        <v>1.2500000000000001E-2</v>
      </c>
      <c r="AC170" s="5">
        <f t="shared" si="131"/>
        <v>0.05</v>
      </c>
      <c r="AD170" s="5">
        <f t="shared" si="138"/>
        <v>0.47750000000000004</v>
      </c>
      <c r="AE170" s="5">
        <f t="shared" si="87"/>
        <v>0.41500000000000004</v>
      </c>
      <c r="AF170" s="5">
        <f t="shared" si="132"/>
        <v>0.05</v>
      </c>
      <c r="AG170" s="250" t="s">
        <v>395</v>
      </c>
      <c r="AH170" s="250">
        <v>14.906136455389584</v>
      </c>
      <c r="AI170" s="5">
        <f t="shared" si="139"/>
        <v>0.05</v>
      </c>
      <c r="AJ170" s="5">
        <f t="shared" si="140"/>
        <v>0.05</v>
      </c>
      <c r="AK170" s="5">
        <f t="shared" si="133"/>
        <v>0.01</v>
      </c>
      <c r="AL170" s="5">
        <f t="shared" si="134"/>
        <v>0.05</v>
      </c>
      <c r="AM170" s="5">
        <f t="shared" si="134"/>
        <v>0.05</v>
      </c>
      <c r="AN170" s="5">
        <v>0.44545064594267264</v>
      </c>
      <c r="AO170" s="5">
        <v>0.2152301170771094</v>
      </c>
      <c r="AP170" s="5">
        <f t="shared" si="135"/>
        <v>5.0000000000000001E-3</v>
      </c>
      <c r="AQ170" s="5">
        <v>0.41399374243035925</v>
      </c>
      <c r="AR170" s="5">
        <v>8.8564796124343967E-2</v>
      </c>
      <c r="AS170" s="5" t="s">
        <v>395</v>
      </c>
      <c r="AT170" s="5" t="s">
        <v>395</v>
      </c>
      <c r="AU170" s="5" t="s">
        <v>395</v>
      </c>
      <c r="AV170" s="5" t="s">
        <v>395</v>
      </c>
      <c r="AW170" s="5" t="s">
        <v>395</v>
      </c>
      <c r="AX170" s="5" t="s">
        <v>395</v>
      </c>
      <c r="AY170" s="5" t="s">
        <v>395</v>
      </c>
      <c r="AZ170" s="5" t="s">
        <v>395</v>
      </c>
      <c r="BA170" s="5" t="s">
        <v>395</v>
      </c>
      <c r="BB170" s="5" t="s">
        <v>395</v>
      </c>
      <c r="BC170" s="5">
        <v>210</v>
      </c>
      <c r="BD170" s="5">
        <f t="shared" si="141"/>
        <v>0.05</v>
      </c>
      <c r="BE170" s="5">
        <f t="shared" si="141"/>
        <v>0.05</v>
      </c>
      <c r="BF170" s="5">
        <v>0.19270087916581477</v>
      </c>
      <c r="BG170" s="5">
        <f t="shared" si="142"/>
        <v>0.05</v>
      </c>
      <c r="BH170" s="5">
        <v>0.40683398078102639</v>
      </c>
      <c r="BI170" s="5">
        <v>6.4677008791658146</v>
      </c>
      <c r="BJ170" s="5">
        <v>3.9404007360457989</v>
      </c>
      <c r="BK170" s="5">
        <f>0.5*0.01</f>
        <v>5.0000000000000001E-3</v>
      </c>
      <c r="BL170" s="5">
        <v>6.2220098139439788</v>
      </c>
      <c r="BM170" s="5">
        <v>0.80300552034348804</v>
      </c>
      <c r="BN170" s="5">
        <v>71</v>
      </c>
      <c r="BO170" s="5" t="s">
        <v>395</v>
      </c>
      <c r="BP170" s="5" t="s">
        <v>395</v>
      </c>
      <c r="BQ170" s="5" t="s">
        <v>395</v>
      </c>
      <c r="BR170" s="5" t="s">
        <v>395</v>
      </c>
      <c r="BS170" s="5" t="s">
        <v>395</v>
      </c>
      <c r="BT170" s="5" t="s">
        <v>395</v>
      </c>
      <c r="BU170" s="5" t="s">
        <v>395</v>
      </c>
      <c r="BV170" s="5" t="s">
        <v>395</v>
      </c>
      <c r="BW170" s="5" t="s">
        <v>395</v>
      </c>
      <c r="BX170" s="5" t="s">
        <v>395</v>
      </c>
      <c r="BY170" s="5" t="s">
        <v>395</v>
      </c>
      <c r="BZ170" s="5" t="s">
        <v>395</v>
      </c>
      <c r="CA170" s="5" t="s">
        <v>395</v>
      </c>
      <c r="CB170" s="5" t="s">
        <v>395</v>
      </c>
      <c r="CC170" s="5" t="s">
        <v>395</v>
      </c>
      <c r="CD170" s="5" t="s">
        <v>395</v>
      </c>
      <c r="CE170" s="5" t="s">
        <v>395</v>
      </c>
      <c r="CF170" s="5" t="s">
        <v>395</v>
      </c>
      <c r="CG170" s="5" t="s">
        <v>395</v>
      </c>
      <c r="CH170" s="5" t="s">
        <v>395</v>
      </c>
      <c r="CI170" s="5" t="s">
        <v>395</v>
      </c>
      <c r="CJ170" s="5" t="s">
        <v>395</v>
      </c>
      <c r="CK170" s="5" t="s">
        <v>395</v>
      </c>
      <c r="CL170" s="5" t="s">
        <v>395</v>
      </c>
      <c r="CM170" s="5" t="s">
        <v>395</v>
      </c>
      <c r="CN170" s="5" t="s">
        <v>395</v>
      </c>
      <c r="CO170" s="5" t="s">
        <v>395</v>
      </c>
      <c r="CP170" s="5" t="s">
        <v>395</v>
      </c>
      <c r="CQ170" s="5" t="s">
        <v>395</v>
      </c>
      <c r="CR170" s="5" t="s">
        <v>395</v>
      </c>
      <c r="CS170" s="5" t="s">
        <v>395</v>
      </c>
      <c r="CT170" s="5" t="s">
        <v>395</v>
      </c>
      <c r="CU170" s="5" t="s">
        <v>395</v>
      </c>
      <c r="CV170" s="5" t="s">
        <v>395</v>
      </c>
      <c r="CW170" s="5" t="s">
        <v>395</v>
      </c>
      <c r="CX170" s="5" t="s">
        <v>395</v>
      </c>
      <c r="CY170" s="252" t="s">
        <v>395</v>
      </c>
    </row>
    <row r="171" spans="1:103" x14ac:dyDescent="0.3">
      <c r="A171" s="26" t="s">
        <v>25</v>
      </c>
      <c r="B171" s="14" t="s">
        <v>25</v>
      </c>
      <c r="C171" s="14" t="s">
        <v>20</v>
      </c>
      <c r="G171" s="22">
        <v>42264</v>
      </c>
      <c r="H171" s="16">
        <v>2015</v>
      </c>
      <c r="I171" s="121" t="s">
        <v>33</v>
      </c>
      <c r="J171" s="121">
        <v>10</v>
      </c>
      <c r="K171" s="251" t="s">
        <v>395</v>
      </c>
      <c r="L171" s="5" t="s">
        <v>395</v>
      </c>
      <c r="M171" s="5">
        <f>0.5*0.04</f>
        <v>0.02</v>
      </c>
      <c r="N171" s="5">
        <v>0.15</v>
      </c>
      <c r="O171" s="5">
        <v>0.86</v>
      </c>
      <c r="P171" s="5">
        <v>0.66</v>
      </c>
      <c r="Q171" s="5">
        <v>2.7</v>
      </c>
      <c r="R171" s="5">
        <v>2</v>
      </c>
      <c r="S171" s="5">
        <v>1.1000000000000001</v>
      </c>
      <c r="T171" s="5">
        <f t="shared" si="137"/>
        <v>7.49</v>
      </c>
      <c r="U171" s="5" t="s">
        <v>395</v>
      </c>
      <c r="V171" s="5">
        <f>0.5*0.025</f>
        <v>1.2500000000000001E-2</v>
      </c>
      <c r="W171" s="5">
        <v>0.11</v>
      </c>
      <c r="X171" s="5">
        <v>6.9000000000000006E-2</v>
      </c>
      <c r="Y171" s="5">
        <v>0.13</v>
      </c>
      <c r="Z171" s="5">
        <f>0.5*0.025</f>
        <v>1.2500000000000001E-2</v>
      </c>
      <c r="AA171" s="5">
        <v>4.9000000000000002E-2</v>
      </c>
      <c r="AB171" s="5">
        <f>0.5*0.025</f>
        <v>1.2500000000000001E-2</v>
      </c>
      <c r="AC171" s="5">
        <f t="shared" si="131"/>
        <v>0.05</v>
      </c>
      <c r="AD171" s="5">
        <f t="shared" si="138"/>
        <v>0.44550000000000001</v>
      </c>
      <c r="AE171" s="5">
        <f t="shared" si="87"/>
        <v>0.38300000000000001</v>
      </c>
      <c r="AF171" s="5">
        <f t="shared" si="132"/>
        <v>0.05</v>
      </c>
      <c r="AG171" s="250" t="s">
        <v>395</v>
      </c>
      <c r="AH171" s="250">
        <v>51.028662420382162</v>
      </c>
      <c r="AI171" s="5">
        <f t="shared" si="139"/>
        <v>0.05</v>
      </c>
      <c r="AJ171" s="5">
        <f t="shared" si="140"/>
        <v>0.05</v>
      </c>
      <c r="AK171" s="5">
        <f t="shared" si="133"/>
        <v>0.01</v>
      </c>
      <c r="AL171" s="5">
        <f t="shared" si="134"/>
        <v>0.05</v>
      </c>
      <c r="AM171" s="5">
        <f t="shared" si="134"/>
        <v>0.05</v>
      </c>
      <c r="AN171" s="5">
        <v>1.7126884288747348</v>
      </c>
      <c r="AO171" s="5">
        <v>0.62234607218683646</v>
      </c>
      <c r="AP171" s="5">
        <f t="shared" si="135"/>
        <v>5.0000000000000001E-3</v>
      </c>
      <c r="AQ171" s="5">
        <v>0.82079087048832278</v>
      </c>
      <c r="AR171" s="5">
        <v>9.3152866242038238E-2</v>
      </c>
      <c r="AS171" s="5" t="s">
        <v>395</v>
      </c>
      <c r="AT171" s="5" t="s">
        <v>395</v>
      </c>
      <c r="AU171" s="5" t="s">
        <v>395</v>
      </c>
      <c r="AV171" s="5" t="s">
        <v>395</v>
      </c>
      <c r="AW171" s="5" t="s">
        <v>395</v>
      </c>
      <c r="AX171" s="5" t="s">
        <v>395</v>
      </c>
      <c r="AY171" s="5" t="s">
        <v>395</v>
      </c>
      <c r="AZ171" s="5" t="s">
        <v>395</v>
      </c>
      <c r="BA171" s="5" t="s">
        <v>395</v>
      </c>
      <c r="BB171" s="5" t="s">
        <v>395</v>
      </c>
      <c r="BC171" s="5">
        <v>750</v>
      </c>
      <c r="BD171" s="5">
        <f t="shared" si="141"/>
        <v>0.05</v>
      </c>
      <c r="BE171" s="5">
        <f t="shared" si="141"/>
        <v>0.05</v>
      </c>
      <c r="BF171" s="5">
        <v>0.52939441604404236</v>
      </c>
      <c r="BG171" s="5">
        <f t="shared" si="142"/>
        <v>0.05</v>
      </c>
      <c r="BH171" s="5">
        <v>0.46398446716476593</v>
      </c>
      <c r="BI171" s="5">
        <v>22.008164569406212</v>
      </c>
      <c r="BJ171" s="5">
        <v>11.398446716476601</v>
      </c>
      <c r="BK171" s="5">
        <f>0.5*0.01</f>
        <v>5.0000000000000001E-3</v>
      </c>
      <c r="BL171" s="5">
        <v>9.9354797483287438</v>
      </c>
      <c r="BM171" s="5">
        <v>0.60312622886354694</v>
      </c>
      <c r="BN171" s="5">
        <v>140</v>
      </c>
      <c r="BO171" s="5" t="s">
        <v>395</v>
      </c>
      <c r="BP171" s="5" t="s">
        <v>395</v>
      </c>
      <c r="BQ171" s="5" t="s">
        <v>395</v>
      </c>
      <c r="BR171" s="5" t="s">
        <v>395</v>
      </c>
      <c r="BS171" s="5" t="s">
        <v>395</v>
      </c>
      <c r="BT171" s="5" t="s">
        <v>395</v>
      </c>
      <c r="BU171" s="5" t="s">
        <v>395</v>
      </c>
      <c r="BV171" s="5" t="s">
        <v>395</v>
      </c>
      <c r="BW171" s="5" t="s">
        <v>395</v>
      </c>
      <c r="BX171" s="5" t="s">
        <v>395</v>
      </c>
      <c r="BY171" s="5" t="s">
        <v>395</v>
      </c>
      <c r="BZ171" s="5" t="s">
        <v>395</v>
      </c>
      <c r="CA171" s="5" t="s">
        <v>395</v>
      </c>
      <c r="CB171" s="5" t="s">
        <v>395</v>
      </c>
      <c r="CC171" s="5" t="s">
        <v>395</v>
      </c>
      <c r="CD171" s="5" t="s">
        <v>395</v>
      </c>
      <c r="CE171" s="5" t="s">
        <v>395</v>
      </c>
      <c r="CF171" s="5" t="s">
        <v>395</v>
      </c>
      <c r="CG171" s="5" t="s">
        <v>395</v>
      </c>
      <c r="CH171" s="5" t="s">
        <v>395</v>
      </c>
      <c r="CI171" s="5" t="s">
        <v>395</v>
      </c>
      <c r="CJ171" s="5" t="s">
        <v>395</v>
      </c>
      <c r="CK171" s="5" t="s">
        <v>395</v>
      </c>
      <c r="CL171" s="5" t="s">
        <v>395</v>
      </c>
      <c r="CM171" s="5" t="s">
        <v>395</v>
      </c>
      <c r="CN171" s="5" t="s">
        <v>395</v>
      </c>
      <c r="CO171" s="5" t="s">
        <v>395</v>
      </c>
      <c r="CP171" s="5" t="s">
        <v>395</v>
      </c>
      <c r="CQ171" s="5" t="s">
        <v>395</v>
      </c>
      <c r="CR171" s="5" t="s">
        <v>395</v>
      </c>
      <c r="CS171" s="5" t="s">
        <v>395</v>
      </c>
      <c r="CT171" s="5" t="s">
        <v>395</v>
      </c>
      <c r="CU171" s="5" t="s">
        <v>395</v>
      </c>
      <c r="CV171" s="5" t="s">
        <v>395</v>
      </c>
      <c r="CW171" s="5" t="s">
        <v>395</v>
      </c>
      <c r="CX171" s="5" t="s">
        <v>395</v>
      </c>
      <c r="CY171" s="252" t="s">
        <v>395</v>
      </c>
    </row>
    <row r="172" spans="1:103" x14ac:dyDescent="0.3">
      <c r="A172" s="26" t="s">
        <v>26</v>
      </c>
      <c r="B172" s="14" t="s">
        <v>26</v>
      </c>
      <c r="C172" s="14" t="s">
        <v>20</v>
      </c>
      <c r="G172" s="22">
        <v>42264</v>
      </c>
      <c r="H172" s="16">
        <v>2015</v>
      </c>
      <c r="I172" s="121" t="s">
        <v>33</v>
      </c>
      <c r="J172" s="121">
        <v>10</v>
      </c>
      <c r="K172" s="251" t="s">
        <v>395</v>
      </c>
      <c r="L172" s="5" t="s">
        <v>395</v>
      </c>
      <c r="M172" s="5">
        <f>0.5*0.04</f>
        <v>0.02</v>
      </c>
      <c r="N172" s="5">
        <v>0.05</v>
      </c>
      <c r="O172" s="5">
        <v>0.34</v>
      </c>
      <c r="P172" s="5">
        <v>0.31</v>
      </c>
      <c r="Q172" s="5">
        <v>0.98</v>
      </c>
      <c r="R172" s="5">
        <v>0.83</v>
      </c>
      <c r="S172" s="5">
        <v>0.56000000000000005</v>
      </c>
      <c r="T172" s="5">
        <f t="shared" si="137"/>
        <v>3.09</v>
      </c>
      <c r="U172" s="5" t="s">
        <v>395</v>
      </c>
      <c r="V172" s="5">
        <f>0.5*0.023</f>
        <v>1.15E-2</v>
      </c>
      <c r="W172" s="5">
        <v>2.1000000000000001E-2</v>
      </c>
      <c r="X172" s="5">
        <f>0.5*0.019</f>
        <v>9.4999999999999998E-3</v>
      </c>
      <c r="Y172" s="5">
        <v>3.7000000000000005E-2</v>
      </c>
      <c r="Z172" s="5">
        <f>0.5*0.023</f>
        <v>1.15E-2</v>
      </c>
      <c r="AA172" s="5">
        <f>0.5*0.023</f>
        <v>1.15E-2</v>
      </c>
      <c r="AB172" s="5">
        <f>0.5*0.023</f>
        <v>1.15E-2</v>
      </c>
      <c r="AC172" s="5">
        <f t="shared" si="131"/>
        <v>0.05</v>
      </c>
      <c r="AD172" s="5">
        <f t="shared" si="138"/>
        <v>0.16350000000000001</v>
      </c>
      <c r="AE172" s="5">
        <f t="shared" si="87"/>
        <v>0.10199999999999999</v>
      </c>
      <c r="AF172" s="5">
        <f t="shared" si="132"/>
        <v>0.05</v>
      </c>
      <c r="AG172" s="250" t="s">
        <v>395</v>
      </c>
      <c r="AH172" s="250">
        <v>5.1376970664538018</v>
      </c>
      <c r="AI172" s="5">
        <f t="shared" si="139"/>
        <v>0.05</v>
      </c>
      <c r="AJ172" s="5">
        <f t="shared" si="140"/>
        <v>0.05</v>
      </c>
      <c r="AK172" s="5">
        <f t="shared" si="133"/>
        <v>0.01</v>
      </c>
      <c r="AL172" s="5">
        <f>0.5*0.1</f>
        <v>0.05</v>
      </c>
      <c r="AM172" s="5">
        <v>0.13069497106365996</v>
      </c>
      <c r="AN172" s="5">
        <v>0.43040560766314112</v>
      </c>
      <c r="AO172" s="5">
        <v>0.12796846936739173</v>
      </c>
      <c r="AP172" s="5">
        <f t="shared" si="135"/>
        <v>5.0000000000000001E-3</v>
      </c>
      <c r="AQ172" s="5">
        <v>0.28156555577728992</v>
      </c>
      <c r="AR172" s="5">
        <f>0.5*0.02</f>
        <v>0.01</v>
      </c>
      <c r="AS172" s="5" t="s">
        <v>395</v>
      </c>
      <c r="AT172" s="5" t="s">
        <v>395</v>
      </c>
      <c r="AU172" s="5" t="s">
        <v>395</v>
      </c>
      <c r="AV172" s="5" t="s">
        <v>395</v>
      </c>
      <c r="AW172" s="5" t="s">
        <v>395</v>
      </c>
      <c r="AX172" s="5" t="s">
        <v>395</v>
      </c>
      <c r="AY172" s="5" t="s">
        <v>395</v>
      </c>
      <c r="AZ172" s="5" t="s">
        <v>395</v>
      </c>
      <c r="BA172" s="5" t="s">
        <v>395</v>
      </c>
      <c r="BB172" s="5" t="s">
        <v>395</v>
      </c>
      <c r="BC172" s="5">
        <v>65.723857868020303</v>
      </c>
      <c r="BD172" s="5">
        <f t="shared" si="141"/>
        <v>0.05</v>
      </c>
      <c r="BE172" s="5">
        <f t="shared" si="141"/>
        <v>0.05</v>
      </c>
      <c r="BF172" s="5">
        <v>0.12842639593908631</v>
      </c>
      <c r="BG172" s="5">
        <f t="shared" si="142"/>
        <v>0.05</v>
      </c>
      <c r="BH172" s="5">
        <v>1.2263604060913704</v>
      </c>
      <c r="BI172" s="5">
        <v>4.2301573604060909</v>
      </c>
      <c r="BJ172" s="5">
        <v>0.41472081218274109</v>
      </c>
      <c r="BK172" s="5">
        <v>0.4223350253807106</v>
      </c>
      <c r="BL172" s="5">
        <v>2.2602741116751273</v>
      </c>
      <c r="BM172" s="5">
        <v>9.4111675126903563E-2</v>
      </c>
      <c r="BN172" s="5">
        <v>45</v>
      </c>
      <c r="BO172" s="5" t="s">
        <v>395</v>
      </c>
      <c r="BP172" s="5" t="s">
        <v>395</v>
      </c>
      <c r="BQ172" s="5" t="s">
        <v>395</v>
      </c>
      <c r="BR172" s="5" t="s">
        <v>395</v>
      </c>
      <c r="BS172" s="5" t="s">
        <v>395</v>
      </c>
      <c r="BT172" s="5" t="s">
        <v>395</v>
      </c>
      <c r="BU172" s="5" t="s">
        <v>395</v>
      </c>
      <c r="BV172" s="5" t="s">
        <v>395</v>
      </c>
      <c r="BW172" s="5" t="s">
        <v>395</v>
      </c>
      <c r="BX172" s="5" t="s">
        <v>395</v>
      </c>
      <c r="BY172" s="5" t="s">
        <v>395</v>
      </c>
      <c r="BZ172" s="5" t="s">
        <v>395</v>
      </c>
      <c r="CA172" s="5" t="s">
        <v>395</v>
      </c>
      <c r="CB172" s="5" t="s">
        <v>395</v>
      </c>
      <c r="CC172" s="5" t="s">
        <v>395</v>
      </c>
      <c r="CD172" s="5" t="s">
        <v>395</v>
      </c>
      <c r="CE172" s="5" t="s">
        <v>395</v>
      </c>
      <c r="CF172" s="5" t="s">
        <v>395</v>
      </c>
      <c r="CG172" s="5" t="s">
        <v>395</v>
      </c>
      <c r="CH172" s="5" t="s">
        <v>395</v>
      </c>
      <c r="CI172" s="5" t="s">
        <v>395</v>
      </c>
      <c r="CJ172" s="5" t="s">
        <v>395</v>
      </c>
      <c r="CK172" s="5" t="s">
        <v>395</v>
      </c>
      <c r="CL172" s="5" t="s">
        <v>395</v>
      </c>
      <c r="CM172" s="5" t="s">
        <v>395</v>
      </c>
      <c r="CN172" s="5" t="s">
        <v>395</v>
      </c>
      <c r="CO172" s="5" t="s">
        <v>395</v>
      </c>
      <c r="CP172" s="5" t="s">
        <v>395</v>
      </c>
      <c r="CQ172" s="5" t="s">
        <v>395</v>
      </c>
      <c r="CR172" s="5" t="s">
        <v>395</v>
      </c>
      <c r="CS172" s="5" t="s">
        <v>395</v>
      </c>
      <c r="CT172" s="5" t="s">
        <v>395</v>
      </c>
      <c r="CU172" s="5" t="s">
        <v>395</v>
      </c>
      <c r="CV172" s="5" t="s">
        <v>395</v>
      </c>
      <c r="CW172" s="5" t="s">
        <v>395</v>
      </c>
      <c r="CX172" s="5" t="s">
        <v>395</v>
      </c>
      <c r="CY172" s="252" t="s">
        <v>395</v>
      </c>
    </row>
    <row r="173" spans="1:103" x14ac:dyDescent="0.3">
      <c r="A173" s="26" t="s">
        <v>81</v>
      </c>
      <c r="B173" s="14" t="s">
        <v>81</v>
      </c>
      <c r="C173" s="14" t="s">
        <v>20</v>
      </c>
      <c r="G173" s="22">
        <v>42264</v>
      </c>
      <c r="H173" s="16">
        <v>2015</v>
      </c>
      <c r="I173" s="121" t="s">
        <v>33</v>
      </c>
      <c r="J173" s="121">
        <v>10</v>
      </c>
      <c r="K173" s="251" t="s">
        <v>395</v>
      </c>
      <c r="L173" s="5" t="s">
        <v>395</v>
      </c>
      <c r="M173" s="5">
        <f>0.5*0.04</f>
        <v>0.02</v>
      </c>
      <c r="N173" s="5">
        <v>0.17</v>
      </c>
      <c r="O173" s="5">
        <v>0.4</v>
      </c>
      <c r="P173" s="5">
        <v>0.24</v>
      </c>
      <c r="Q173" s="5">
        <v>0.63</v>
      </c>
      <c r="R173" s="5">
        <v>0.6</v>
      </c>
      <c r="S173" s="5">
        <v>0.32</v>
      </c>
      <c r="T173" s="5">
        <f t="shared" si="137"/>
        <v>2.38</v>
      </c>
      <c r="U173" s="5" t="s">
        <v>395</v>
      </c>
      <c r="V173" s="5">
        <f>0.5*0.025</f>
        <v>1.2500000000000001E-2</v>
      </c>
      <c r="W173" s="5">
        <v>6.9000000000000006E-2</v>
      </c>
      <c r="X173" s="5">
        <f>0.5*0.02</f>
        <v>0.01</v>
      </c>
      <c r="Y173" s="5">
        <v>7.0000000000000007E-2</v>
      </c>
      <c r="Z173" s="5">
        <f>0.5*0.025</f>
        <v>1.2500000000000001E-2</v>
      </c>
      <c r="AA173" s="5">
        <v>3.1E-2</v>
      </c>
      <c r="AB173" s="5">
        <f>0.5*0.025</f>
        <v>1.2500000000000001E-2</v>
      </c>
      <c r="AC173" s="5">
        <f t="shared" si="131"/>
        <v>0.05</v>
      </c>
      <c r="AD173" s="5">
        <f t="shared" si="138"/>
        <v>0.26750000000000002</v>
      </c>
      <c r="AE173" s="5">
        <f>SUM(V173,W173,Y173,X173,AB173,AA173)</f>
        <v>0.20500000000000004</v>
      </c>
      <c r="AF173" s="5">
        <f t="shared" si="132"/>
        <v>0.05</v>
      </c>
      <c r="AG173" s="250" t="s">
        <v>395</v>
      </c>
      <c r="AH173" s="250">
        <v>8.8438274665344583</v>
      </c>
      <c r="AI173" s="5">
        <f t="shared" si="139"/>
        <v>0.05</v>
      </c>
      <c r="AJ173" s="5">
        <f t="shared" si="140"/>
        <v>0.05</v>
      </c>
      <c r="AK173" s="5">
        <f t="shared" si="133"/>
        <v>0.01</v>
      </c>
      <c r="AL173" s="5">
        <f>0.5*0.1</f>
        <v>0.05</v>
      </c>
      <c r="AM173" s="5">
        <f>0.5*0.1</f>
        <v>0.05</v>
      </c>
      <c r="AN173" s="5">
        <v>0.9205280118988598</v>
      </c>
      <c r="AO173" s="5">
        <v>1.0483391175012395</v>
      </c>
      <c r="AP173" s="5">
        <f t="shared" si="135"/>
        <v>5.0000000000000001E-3</v>
      </c>
      <c r="AQ173" s="5">
        <v>0.96200793257312844</v>
      </c>
      <c r="AR173" s="5">
        <v>0.32994546355974219</v>
      </c>
      <c r="AS173" s="5" t="s">
        <v>395</v>
      </c>
      <c r="AT173" s="5" t="s">
        <v>395</v>
      </c>
      <c r="AU173" s="5" t="s">
        <v>395</v>
      </c>
      <c r="AV173" s="5" t="s">
        <v>395</v>
      </c>
      <c r="AW173" s="5" t="s">
        <v>395</v>
      </c>
      <c r="AX173" s="5" t="s">
        <v>395</v>
      </c>
      <c r="AY173" s="5" t="s">
        <v>395</v>
      </c>
      <c r="AZ173" s="5" t="s">
        <v>395</v>
      </c>
      <c r="BA173" s="5" t="s">
        <v>395</v>
      </c>
      <c r="BB173" s="5" t="s">
        <v>395</v>
      </c>
      <c r="BC173" s="5">
        <v>99.011305241521072</v>
      </c>
      <c r="BD173" s="5">
        <f t="shared" si="141"/>
        <v>0.05</v>
      </c>
      <c r="BE173" s="5">
        <f t="shared" si="141"/>
        <v>0.05</v>
      </c>
      <c r="BF173" s="5">
        <v>0.236896197327852</v>
      </c>
      <c r="BG173" s="5">
        <f t="shared" si="142"/>
        <v>0.05</v>
      </c>
      <c r="BH173" s="5">
        <v>0.24045734840698868</v>
      </c>
      <c r="BI173" s="5">
        <v>9.7499537512846874</v>
      </c>
      <c r="BJ173" s="5">
        <v>13.005652620760536</v>
      </c>
      <c r="BK173" s="5">
        <f>0.5*0.01</f>
        <v>5.0000000000000001E-3</v>
      </c>
      <c r="BL173" s="5">
        <v>9.6468345323741023</v>
      </c>
      <c r="BM173" s="5">
        <v>3.2697841726618706</v>
      </c>
      <c r="BN173" s="5">
        <v>27</v>
      </c>
      <c r="BO173" s="5" t="s">
        <v>395</v>
      </c>
      <c r="BP173" s="5" t="s">
        <v>395</v>
      </c>
      <c r="BQ173" s="5" t="s">
        <v>395</v>
      </c>
      <c r="BR173" s="5" t="s">
        <v>395</v>
      </c>
      <c r="BS173" s="5" t="s">
        <v>395</v>
      </c>
      <c r="BT173" s="5" t="s">
        <v>395</v>
      </c>
      <c r="BU173" s="5" t="s">
        <v>395</v>
      </c>
      <c r="BV173" s="5" t="s">
        <v>395</v>
      </c>
      <c r="BW173" s="5" t="s">
        <v>395</v>
      </c>
      <c r="BX173" s="5" t="s">
        <v>395</v>
      </c>
      <c r="BY173" s="5" t="s">
        <v>395</v>
      </c>
      <c r="BZ173" s="5" t="s">
        <v>395</v>
      </c>
      <c r="CA173" s="5" t="s">
        <v>395</v>
      </c>
      <c r="CB173" s="5" t="s">
        <v>395</v>
      </c>
      <c r="CC173" s="5" t="s">
        <v>395</v>
      </c>
      <c r="CD173" s="5" t="s">
        <v>395</v>
      </c>
      <c r="CE173" s="5" t="s">
        <v>395</v>
      </c>
      <c r="CF173" s="5" t="s">
        <v>395</v>
      </c>
      <c r="CG173" s="5" t="s">
        <v>395</v>
      </c>
      <c r="CH173" s="5" t="s">
        <v>395</v>
      </c>
      <c r="CI173" s="5" t="s">
        <v>395</v>
      </c>
      <c r="CJ173" s="5" t="s">
        <v>395</v>
      </c>
      <c r="CK173" s="5" t="s">
        <v>395</v>
      </c>
      <c r="CL173" s="5" t="s">
        <v>395</v>
      </c>
      <c r="CM173" s="5" t="s">
        <v>395</v>
      </c>
      <c r="CN173" s="5" t="s">
        <v>395</v>
      </c>
      <c r="CO173" s="5" t="s">
        <v>395</v>
      </c>
      <c r="CP173" s="5" t="s">
        <v>395</v>
      </c>
      <c r="CQ173" s="5" t="s">
        <v>395</v>
      </c>
      <c r="CR173" s="5" t="s">
        <v>395</v>
      </c>
      <c r="CS173" s="5" t="s">
        <v>395</v>
      </c>
      <c r="CT173" s="5" t="s">
        <v>395</v>
      </c>
      <c r="CU173" s="5" t="s">
        <v>395</v>
      </c>
      <c r="CV173" s="5" t="s">
        <v>395</v>
      </c>
      <c r="CW173" s="5" t="s">
        <v>395</v>
      </c>
      <c r="CX173" s="5" t="s">
        <v>395</v>
      </c>
      <c r="CY173" s="252" t="s">
        <v>395</v>
      </c>
    </row>
    <row r="174" spans="1:103" x14ac:dyDescent="0.3">
      <c r="A174" s="26" t="s">
        <v>6</v>
      </c>
      <c r="B174" s="14" t="s">
        <v>6</v>
      </c>
      <c r="C174" s="14" t="s">
        <v>20</v>
      </c>
      <c r="G174" s="22">
        <v>42256</v>
      </c>
      <c r="H174" s="16">
        <v>2015</v>
      </c>
      <c r="I174" s="121" t="s">
        <v>33</v>
      </c>
      <c r="J174" s="121">
        <v>10</v>
      </c>
      <c r="K174" s="251" t="s">
        <v>395</v>
      </c>
      <c r="L174" s="5" t="s">
        <v>395</v>
      </c>
      <c r="M174" s="5">
        <v>9.4E-2</v>
      </c>
      <c r="N174" s="5">
        <v>0.47</v>
      </c>
      <c r="O174" s="5">
        <v>2.5</v>
      </c>
      <c r="P174" s="5">
        <v>1.8</v>
      </c>
      <c r="Q174" s="5">
        <v>5.3</v>
      </c>
      <c r="R174" s="5">
        <v>4</v>
      </c>
      <c r="S174" s="5">
        <v>2</v>
      </c>
      <c r="T174" s="5">
        <f t="shared" si="137"/>
        <v>16.164000000000001</v>
      </c>
      <c r="U174" s="5" t="s">
        <v>395</v>
      </c>
      <c r="V174" s="5">
        <f>0.5*0.024</f>
        <v>1.2E-2</v>
      </c>
      <c r="W174" s="5">
        <v>0.32</v>
      </c>
      <c r="X174" s="5">
        <v>9.2999999999999999E-2</v>
      </c>
      <c r="Y174" s="5">
        <v>0.17</v>
      </c>
      <c r="Z174" s="5">
        <f>0.5*0.024</f>
        <v>1.2E-2</v>
      </c>
      <c r="AA174" s="5">
        <v>5.6000000000000001E-2</v>
      </c>
      <c r="AB174" s="5">
        <v>2.7E-2</v>
      </c>
      <c r="AC174" s="5">
        <f t="shared" si="131"/>
        <v>0.05</v>
      </c>
      <c r="AD174" s="5">
        <f t="shared" si="138"/>
        <v>0.74000000000000021</v>
      </c>
      <c r="AE174" s="5">
        <f t="shared" si="87"/>
        <v>0.67800000000000005</v>
      </c>
      <c r="AF174" s="5">
        <f t="shared" si="132"/>
        <v>0.05</v>
      </c>
      <c r="AG174" s="250" t="s">
        <v>395</v>
      </c>
      <c r="AH174" s="250">
        <v>5.6907989616383032</v>
      </c>
      <c r="AI174" s="5">
        <f t="shared" si="139"/>
        <v>0.05</v>
      </c>
      <c r="AJ174" s="5">
        <f t="shared" si="140"/>
        <v>0.05</v>
      </c>
      <c r="AK174" s="5">
        <f t="shared" si="133"/>
        <v>0.01</v>
      </c>
      <c r="AL174" s="5">
        <f>0.5*0.1</f>
        <v>0.05</v>
      </c>
      <c r="AM174" s="5">
        <f>0.5*0.1</f>
        <v>0.05</v>
      </c>
      <c r="AN174" s="5">
        <v>0.52913421786366699</v>
      </c>
      <c r="AO174" s="5">
        <v>0.16849341409479854</v>
      </c>
      <c r="AP174" s="5">
        <f t="shared" si="135"/>
        <v>5.0000000000000001E-3</v>
      </c>
      <c r="AQ174" s="5">
        <v>0.2664984136140755</v>
      </c>
      <c r="AR174" s="5">
        <v>3.4948562638207871E-2</v>
      </c>
      <c r="AS174" s="5" t="s">
        <v>395</v>
      </c>
      <c r="AT174" s="5" t="s">
        <v>395</v>
      </c>
      <c r="AU174" s="5" t="s">
        <v>395</v>
      </c>
      <c r="AV174" s="5" t="s">
        <v>395</v>
      </c>
      <c r="AW174" s="5" t="s">
        <v>395</v>
      </c>
      <c r="AX174" s="5" t="s">
        <v>395</v>
      </c>
      <c r="AY174" s="5" t="s">
        <v>395</v>
      </c>
      <c r="AZ174" s="5" t="s">
        <v>395</v>
      </c>
      <c r="BA174" s="5" t="s">
        <v>395</v>
      </c>
      <c r="BB174" s="5" t="s">
        <v>395</v>
      </c>
      <c r="BC174" s="5">
        <v>95.662537537537517</v>
      </c>
      <c r="BD174" s="5">
        <f t="shared" si="141"/>
        <v>0.05</v>
      </c>
      <c r="BE174" s="5">
        <f t="shared" si="141"/>
        <v>0.05</v>
      </c>
      <c r="BF174" s="5">
        <f>0.5*0.02</f>
        <v>0.01</v>
      </c>
      <c r="BG174" s="5">
        <f t="shared" si="142"/>
        <v>0.05</v>
      </c>
      <c r="BH174" s="5">
        <v>0.36783502252252248</v>
      </c>
      <c r="BI174" s="5">
        <v>7.6076435810810805</v>
      </c>
      <c r="BJ174" s="5">
        <v>2.2470908408408405</v>
      </c>
      <c r="BK174" s="5">
        <f>0.5*0.01</f>
        <v>5.0000000000000001E-3</v>
      </c>
      <c r="BL174" s="5">
        <v>4.3227946696696691</v>
      </c>
      <c r="BM174" s="5">
        <v>0.25103228228228225</v>
      </c>
      <c r="BN174" s="5">
        <v>62</v>
      </c>
      <c r="BO174" s="5" t="s">
        <v>395</v>
      </c>
      <c r="BP174" s="5" t="s">
        <v>395</v>
      </c>
      <c r="BQ174" s="5" t="s">
        <v>395</v>
      </c>
      <c r="BR174" s="5" t="s">
        <v>395</v>
      </c>
      <c r="BS174" s="5" t="s">
        <v>395</v>
      </c>
      <c r="BT174" s="5" t="s">
        <v>395</v>
      </c>
      <c r="BU174" s="5" t="s">
        <v>395</v>
      </c>
      <c r="BV174" s="5" t="s">
        <v>395</v>
      </c>
      <c r="BW174" s="5" t="s">
        <v>395</v>
      </c>
      <c r="BX174" s="5" t="s">
        <v>395</v>
      </c>
      <c r="BY174" s="5" t="s">
        <v>395</v>
      </c>
      <c r="BZ174" s="5" t="s">
        <v>395</v>
      </c>
      <c r="CA174" s="5" t="s">
        <v>395</v>
      </c>
      <c r="CB174" s="5" t="s">
        <v>395</v>
      </c>
      <c r="CC174" s="5" t="s">
        <v>395</v>
      </c>
      <c r="CD174" s="5" t="s">
        <v>395</v>
      </c>
      <c r="CE174" s="5" t="s">
        <v>395</v>
      </c>
      <c r="CF174" s="5" t="s">
        <v>395</v>
      </c>
      <c r="CG174" s="5" t="s">
        <v>395</v>
      </c>
      <c r="CH174" s="5" t="s">
        <v>395</v>
      </c>
      <c r="CI174" s="5" t="s">
        <v>395</v>
      </c>
      <c r="CJ174" s="5" t="s">
        <v>395</v>
      </c>
      <c r="CK174" s="5" t="s">
        <v>395</v>
      </c>
      <c r="CL174" s="5" t="s">
        <v>395</v>
      </c>
      <c r="CM174" s="5" t="s">
        <v>395</v>
      </c>
      <c r="CN174" s="5" t="s">
        <v>395</v>
      </c>
      <c r="CO174" s="5" t="s">
        <v>395</v>
      </c>
      <c r="CP174" s="5" t="s">
        <v>395</v>
      </c>
      <c r="CQ174" s="5" t="s">
        <v>395</v>
      </c>
      <c r="CR174" s="5" t="s">
        <v>395</v>
      </c>
      <c r="CS174" s="5" t="s">
        <v>395</v>
      </c>
      <c r="CT174" s="5" t="s">
        <v>395</v>
      </c>
      <c r="CU174" s="5" t="s">
        <v>395</v>
      </c>
      <c r="CV174" s="5" t="s">
        <v>395</v>
      </c>
      <c r="CW174" s="5" t="s">
        <v>395</v>
      </c>
      <c r="CX174" s="5" t="s">
        <v>395</v>
      </c>
      <c r="CY174" s="252" t="s">
        <v>395</v>
      </c>
    </row>
    <row r="175" spans="1:103" x14ac:dyDescent="0.3">
      <c r="A175" s="30" t="s">
        <v>112</v>
      </c>
      <c r="B175" s="51" t="s">
        <v>24</v>
      </c>
      <c r="C175" s="19" t="s">
        <v>20</v>
      </c>
      <c r="D175" s="19" t="s">
        <v>125</v>
      </c>
      <c r="E175" s="20"/>
      <c r="F175" s="21"/>
      <c r="G175" s="22">
        <v>41896</v>
      </c>
      <c r="H175" s="23">
        <v>2014</v>
      </c>
      <c r="I175" s="121" t="s">
        <v>33</v>
      </c>
      <c r="J175" s="121">
        <v>10</v>
      </c>
      <c r="K175" s="251" t="s">
        <v>395</v>
      </c>
      <c r="L175" s="5" t="s">
        <v>395</v>
      </c>
      <c r="M175" s="24">
        <v>1</v>
      </c>
      <c r="N175" s="24">
        <v>1.9</v>
      </c>
      <c r="O175" s="24">
        <v>6.2</v>
      </c>
      <c r="P175" s="24">
        <v>5.4</v>
      </c>
      <c r="Q175" s="24">
        <v>11</v>
      </c>
      <c r="R175" s="24">
        <v>9.6</v>
      </c>
      <c r="S175" s="24">
        <v>3.4</v>
      </c>
      <c r="T175" s="24">
        <v>39</v>
      </c>
      <c r="U175" s="5" t="s">
        <v>395</v>
      </c>
      <c r="V175" s="5">
        <f>0.5*0.023</f>
        <v>1.15E-2</v>
      </c>
      <c r="W175" s="5">
        <v>0.21</v>
      </c>
      <c r="X175" s="5">
        <v>8.2000000000000003E-2</v>
      </c>
      <c r="Y175" s="5">
        <v>0.1</v>
      </c>
      <c r="Z175" s="5">
        <f>0.5*0.027</f>
        <v>1.35E-2</v>
      </c>
      <c r="AA175" s="5">
        <f>0.5*0.027</f>
        <v>1.35E-2</v>
      </c>
      <c r="AB175" s="5">
        <f>0.5*0.027</f>
        <v>1.35E-2</v>
      </c>
      <c r="AC175" s="5">
        <f>0.5*0.074</f>
        <v>3.6999999999999998E-2</v>
      </c>
      <c r="AD175" s="5">
        <v>0.39200000000000002</v>
      </c>
      <c r="AE175" s="5">
        <f t="shared" si="87"/>
        <v>0.43050000000000005</v>
      </c>
      <c r="AF175" s="24">
        <f>0.5*0.21</f>
        <v>0.105</v>
      </c>
      <c r="AG175" s="250" t="s">
        <v>395</v>
      </c>
      <c r="AH175" s="25">
        <f>BC175/18.8</f>
        <v>4.787234042553191</v>
      </c>
      <c r="AI175" s="25">
        <f>BD175/18.8</f>
        <v>3.5638297872340428E-2</v>
      </c>
      <c r="AJ175" s="24" t="s">
        <v>395</v>
      </c>
      <c r="AK175" s="24">
        <f t="shared" ref="AK175:AK181" si="143">BF175/18.8</f>
        <v>2.2340425531914891E-2</v>
      </c>
      <c r="AL175" s="24" t="s">
        <v>395</v>
      </c>
      <c r="AM175" s="24">
        <f t="shared" ref="AM175:AO178" si="144">BH175/18.8</f>
        <v>5.0531914893617018E-2</v>
      </c>
      <c r="AN175" s="24">
        <f t="shared" si="144"/>
        <v>0.32978723404255317</v>
      </c>
      <c r="AO175" s="24">
        <f t="shared" si="144"/>
        <v>7.9787234042553182E-2</v>
      </c>
      <c r="AP175" s="24" t="s">
        <v>395</v>
      </c>
      <c r="AQ175" s="24" t="s">
        <v>395</v>
      </c>
      <c r="AR175" s="24" t="s">
        <v>395</v>
      </c>
      <c r="AS175" s="5" t="s">
        <v>395</v>
      </c>
      <c r="AT175" s="5" t="s">
        <v>395</v>
      </c>
      <c r="AU175" s="5" t="s">
        <v>395</v>
      </c>
      <c r="AV175" s="5" t="s">
        <v>395</v>
      </c>
      <c r="AW175" s="5" t="s">
        <v>395</v>
      </c>
      <c r="AX175" s="5" t="s">
        <v>395</v>
      </c>
      <c r="AY175" s="5" t="s">
        <v>395</v>
      </c>
      <c r="AZ175" s="5" t="s">
        <v>395</v>
      </c>
      <c r="BA175" s="5" t="s">
        <v>395</v>
      </c>
      <c r="BB175" s="5" t="s">
        <v>395</v>
      </c>
      <c r="BC175" s="24">
        <v>90</v>
      </c>
      <c r="BD175" s="24">
        <v>0.67</v>
      </c>
      <c r="BE175" s="24" t="s">
        <v>160</v>
      </c>
      <c r="BF175" s="24">
        <v>0.42</v>
      </c>
      <c r="BG175" s="24" t="s">
        <v>160</v>
      </c>
      <c r="BH175" s="24">
        <v>0.95</v>
      </c>
      <c r="BI175" s="24">
        <v>6.2</v>
      </c>
      <c r="BJ175" s="24">
        <v>1.5</v>
      </c>
      <c r="BK175" s="24" t="s">
        <v>160</v>
      </c>
      <c r="BL175" s="24" t="s">
        <v>160</v>
      </c>
      <c r="BM175" s="5" t="s">
        <v>395</v>
      </c>
      <c r="BN175" s="5" t="s">
        <v>395</v>
      </c>
      <c r="BO175" s="5" t="s">
        <v>395</v>
      </c>
      <c r="BP175" s="5" t="s">
        <v>395</v>
      </c>
      <c r="BQ175" s="5" t="s">
        <v>395</v>
      </c>
      <c r="BR175" s="5" t="s">
        <v>395</v>
      </c>
      <c r="BS175" s="5" t="s">
        <v>395</v>
      </c>
      <c r="BT175" s="5" t="s">
        <v>395</v>
      </c>
      <c r="BU175" s="5" t="s">
        <v>395</v>
      </c>
      <c r="BV175" s="5" t="s">
        <v>395</v>
      </c>
      <c r="BW175" s="5" t="s">
        <v>395</v>
      </c>
      <c r="BX175" s="5" t="s">
        <v>395</v>
      </c>
      <c r="BY175" s="5" t="s">
        <v>395</v>
      </c>
      <c r="BZ175" s="5" t="s">
        <v>395</v>
      </c>
      <c r="CA175" s="5" t="s">
        <v>395</v>
      </c>
      <c r="CB175" s="5" t="s">
        <v>395</v>
      </c>
      <c r="CC175" s="5" t="s">
        <v>395</v>
      </c>
      <c r="CD175" s="5" t="s">
        <v>395</v>
      </c>
      <c r="CE175" s="5" t="s">
        <v>395</v>
      </c>
      <c r="CF175" s="5" t="s">
        <v>395</v>
      </c>
      <c r="CG175" s="5" t="s">
        <v>395</v>
      </c>
      <c r="CH175" s="5" t="s">
        <v>395</v>
      </c>
      <c r="CI175" s="5" t="s">
        <v>395</v>
      </c>
      <c r="CJ175" s="5" t="s">
        <v>395</v>
      </c>
      <c r="CK175" s="5" t="s">
        <v>395</v>
      </c>
      <c r="CL175" s="5" t="s">
        <v>395</v>
      </c>
      <c r="CM175" s="5" t="s">
        <v>395</v>
      </c>
      <c r="CN175" s="5" t="s">
        <v>395</v>
      </c>
      <c r="CO175" s="5" t="s">
        <v>395</v>
      </c>
      <c r="CP175" s="5" t="s">
        <v>395</v>
      </c>
      <c r="CQ175" s="5" t="s">
        <v>395</v>
      </c>
      <c r="CR175" s="5" t="s">
        <v>395</v>
      </c>
      <c r="CS175" s="5" t="s">
        <v>395</v>
      </c>
      <c r="CT175" s="5" t="s">
        <v>395</v>
      </c>
      <c r="CU175" s="5" t="s">
        <v>395</v>
      </c>
      <c r="CV175" s="5" t="s">
        <v>395</v>
      </c>
      <c r="CW175" s="5" t="s">
        <v>395</v>
      </c>
      <c r="CX175" s="5" t="s">
        <v>395</v>
      </c>
      <c r="CY175" s="252" t="s">
        <v>395</v>
      </c>
    </row>
    <row r="176" spans="1:103" x14ac:dyDescent="0.3">
      <c r="A176" s="30" t="s">
        <v>22</v>
      </c>
      <c r="B176" s="51" t="s">
        <v>22</v>
      </c>
      <c r="C176" s="19" t="s">
        <v>20</v>
      </c>
      <c r="D176" s="19" t="s">
        <v>125</v>
      </c>
      <c r="E176" s="20"/>
      <c r="F176" s="21"/>
      <c r="G176" s="22">
        <v>41899</v>
      </c>
      <c r="H176" s="23">
        <v>2014</v>
      </c>
      <c r="I176" s="121" t="s">
        <v>33</v>
      </c>
      <c r="J176" s="121">
        <v>10</v>
      </c>
      <c r="K176" s="251" t="s">
        <v>395</v>
      </c>
      <c r="L176" s="5" t="s">
        <v>395</v>
      </c>
      <c r="M176" s="24">
        <v>0.95</v>
      </c>
      <c r="N176" s="24">
        <v>2</v>
      </c>
      <c r="O176" s="24">
        <v>6.2</v>
      </c>
      <c r="P176" s="24">
        <v>5</v>
      </c>
      <c r="Q176" s="24">
        <v>12</v>
      </c>
      <c r="R176" s="24">
        <v>11</v>
      </c>
      <c r="S176" s="24">
        <v>4.2</v>
      </c>
      <c r="T176" s="24">
        <v>42</v>
      </c>
      <c r="U176" s="5" t="s">
        <v>395</v>
      </c>
      <c r="V176" s="5">
        <f>0.5*0.024</f>
        <v>1.2E-2</v>
      </c>
      <c r="W176" s="5">
        <v>0.28000000000000003</v>
      </c>
      <c r="X176" s="5">
        <v>0.14000000000000001</v>
      </c>
      <c r="Y176" s="5">
        <v>0.28000000000000003</v>
      </c>
      <c r="Z176" s="5">
        <f>0.5*0.027</f>
        <v>1.35E-2</v>
      </c>
      <c r="AA176" s="5">
        <v>5.7000000000000002E-2</v>
      </c>
      <c r="AB176" s="5">
        <v>4.7E-2</v>
      </c>
      <c r="AC176" s="5">
        <f>0.5*0.075</f>
        <v>3.7499999999999999E-2</v>
      </c>
      <c r="AD176" s="5">
        <v>0.80400000000000016</v>
      </c>
      <c r="AE176" s="5">
        <f>SUM(V176,W176,Y176,X176,AB176,AA176)</f>
        <v>0.81600000000000017</v>
      </c>
      <c r="AF176" s="24">
        <f>0.5*0.22</f>
        <v>0.11</v>
      </c>
      <c r="AG176" s="250" t="s">
        <v>395</v>
      </c>
      <c r="AH176" s="25">
        <f>BC176/18.8</f>
        <v>9.5744680851063819</v>
      </c>
      <c r="AI176" s="25">
        <f>BD176/18.8</f>
        <v>4.5212765957446804E-2</v>
      </c>
      <c r="AJ176" s="24" t="s">
        <v>395</v>
      </c>
      <c r="AK176" s="24">
        <f t="shared" si="143"/>
        <v>6.382978723404255E-3</v>
      </c>
      <c r="AL176" s="24" t="s">
        <v>395</v>
      </c>
      <c r="AM176" s="24">
        <f t="shared" si="144"/>
        <v>1.1702127659574468E-2</v>
      </c>
      <c r="AN176" s="24">
        <f t="shared" si="144"/>
        <v>0.25</v>
      </c>
      <c r="AO176" s="24">
        <f t="shared" si="144"/>
        <v>0.20744680851063829</v>
      </c>
      <c r="AP176" s="24" t="s">
        <v>395</v>
      </c>
      <c r="AQ176" s="24" t="s">
        <v>395</v>
      </c>
      <c r="AR176" s="24" t="s">
        <v>395</v>
      </c>
      <c r="AS176" s="5" t="s">
        <v>395</v>
      </c>
      <c r="AT176" s="5" t="s">
        <v>395</v>
      </c>
      <c r="AU176" s="5" t="s">
        <v>395</v>
      </c>
      <c r="AV176" s="5" t="s">
        <v>395</v>
      </c>
      <c r="AW176" s="5" t="s">
        <v>395</v>
      </c>
      <c r="AX176" s="5" t="s">
        <v>395</v>
      </c>
      <c r="AY176" s="5" t="s">
        <v>395</v>
      </c>
      <c r="AZ176" s="5" t="s">
        <v>395</v>
      </c>
      <c r="BA176" s="5" t="s">
        <v>395</v>
      </c>
      <c r="BB176" s="5" t="s">
        <v>395</v>
      </c>
      <c r="BC176" s="24">
        <v>180</v>
      </c>
      <c r="BD176" s="24">
        <v>0.85</v>
      </c>
      <c r="BE176" s="24" t="s">
        <v>160</v>
      </c>
      <c r="BF176" s="24">
        <v>0.12</v>
      </c>
      <c r="BG176" s="24" t="s">
        <v>160</v>
      </c>
      <c r="BH176" s="24">
        <v>0.22</v>
      </c>
      <c r="BI176" s="24">
        <v>4.7</v>
      </c>
      <c r="BJ176" s="24">
        <v>3.9</v>
      </c>
      <c r="BK176" s="24" t="s">
        <v>160</v>
      </c>
      <c r="BL176" s="24" t="s">
        <v>160</v>
      </c>
      <c r="BM176" s="5" t="s">
        <v>395</v>
      </c>
      <c r="BN176" s="5" t="s">
        <v>395</v>
      </c>
      <c r="BO176" s="5" t="s">
        <v>395</v>
      </c>
      <c r="BP176" s="5" t="s">
        <v>395</v>
      </c>
      <c r="BQ176" s="5" t="s">
        <v>395</v>
      </c>
      <c r="BR176" s="5" t="s">
        <v>395</v>
      </c>
      <c r="BS176" s="5" t="s">
        <v>395</v>
      </c>
      <c r="BT176" s="5" t="s">
        <v>395</v>
      </c>
      <c r="BU176" s="5" t="s">
        <v>395</v>
      </c>
      <c r="BV176" s="5" t="s">
        <v>395</v>
      </c>
      <c r="BW176" s="5" t="s">
        <v>395</v>
      </c>
      <c r="BX176" s="5" t="s">
        <v>395</v>
      </c>
      <c r="BY176" s="5" t="s">
        <v>395</v>
      </c>
      <c r="BZ176" s="5" t="s">
        <v>395</v>
      </c>
      <c r="CA176" s="5" t="s">
        <v>395</v>
      </c>
      <c r="CB176" s="5" t="s">
        <v>395</v>
      </c>
      <c r="CC176" s="5" t="s">
        <v>395</v>
      </c>
      <c r="CD176" s="5" t="s">
        <v>395</v>
      </c>
      <c r="CE176" s="5" t="s">
        <v>395</v>
      </c>
      <c r="CF176" s="5" t="s">
        <v>395</v>
      </c>
      <c r="CG176" s="5" t="s">
        <v>395</v>
      </c>
      <c r="CH176" s="5" t="s">
        <v>395</v>
      </c>
      <c r="CI176" s="5" t="s">
        <v>395</v>
      </c>
      <c r="CJ176" s="5" t="s">
        <v>395</v>
      </c>
      <c r="CK176" s="5" t="s">
        <v>395</v>
      </c>
      <c r="CL176" s="5" t="s">
        <v>395</v>
      </c>
      <c r="CM176" s="5" t="s">
        <v>395</v>
      </c>
      <c r="CN176" s="5" t="s">
        <v>395</v>
      </c>
      <c r="CO176" s="5" t="s">
        <v>395</v>
      </c>
      <c r="CP176" s="5" t="s">
        <v>395</v>
      </c>
      <c r="CQ176" s="5" t="s">
        <v>395</v>
      </c>
      <c r="CR176" s="5" t="s">
        <v>395</v>
      </c>
      <c r="CS176" s="5" t="s">
        <v>395</v>
      </c>
      <c r="CT176" s="5" t="s">
        <v>395</v>
      </c>
      <c r="CU176" s="5" t="s">
        <v>395</v>
      </c>
      <c r="CV176" s="5" t="s">
        <v>395</v>
      </c>
      <c r="CW176" s="5" t="s">
        <v>395</v>
      </c>
      <c r="CX176" s="5" t="s">
        <v>395</v>
      </c>
      <c r="CY176" s="252" t="s">
        <v>395</v>
      </c>
    </row>
    <row r="177" spans="1:103" x14ac:dyDescent="0.3">
      <c r="A177" s="30" t="s">
        <v>21</v>
      </c>
      <c r="B177" s="51" t="s">
        <v>21</v>
      </c>
      <c r="C177" s="19" t="s">
        <v>20</v>
      </c>
      <c r="D177" s="19" t="s">
        <v>125</v>
      </c>
      <c r="E177" s="20"/>
      <c r="F177" s="21"/>
      <c r="G177" s="22">
        <v>41986</v>
      </c>
      <c r="H177" s="23">
        <v>2014</v>
      </c>
      <c r="I177" s="121" t="s">
        <v>33</v>
      </c>
      <c r="J177" s="121">
        <v>10</v>
      </c>
      <c r="K177" s="251" t="s">
        <v>395</v>
      </c>
      <c r="L177" s="5" t="s">
        <v>395</v>
      </c>
      <c r="M177" s="24">
        <f>0.5*0.04</f>
        <v>0.02</v>
      </c>
      <c r="N177" s="24">
        <v>0.23</v>
      </c>
      <c r="O177" s="24">
        <v>1.7</v>
      </c>
      <c r="P177" s="24">
        <v>1.4</v>
      </c>
      <c r="Q177" s="24">
        <v>6.4</v>
      </c>
      <c r="R177" s="24">
        <v>5.4</v>
      </c>
      <c r="S177" s="24">
        <v>2.7</v>
      </c>
      <c r="T177" s="24">
        <v>18</v>
      </c>
      <c r="U177" s="5" t="s">
        <v>395</v>
      </c>
      <c r="V177" s="5">
        <f>0.5*0.024</f>
        <v>1.2E-2</v>
      </c>
      <c r="W177" s="5">
        <v>0.28000000000000003</v>
      </c>
      <c r="X177" s="5">
        <v>0.13</v>
      </c>
      <c r="Y177" s="5">
        <v>0.2</v>
      </c>
      <c r="Z177" s="5">
        <f>0.5*0.027</f>
        <v>1.35E-2</v>
      </c>
      <c r="AA177" s="5">
        <v>4.3999999999999997E-2</v>
      </c>
      <c r="AB177" s="5">
        <v>3.5000000000000003E-2</v>
      </c>
      <c r="AC177" s="5">
        <f>0.5*0.074</f>
        <v>3.6999999999999998E-2</v>
      </c>
      <c r="AD177" s="5">
        <v>0.68900000000000017</v>
      </c>
      <c r="AE177" s="5">
        <f t="shared" si="87"/>
        <v>0.70100000000000018</v>
      </c>
      <c r="AF177" s="24">
        <f>0.5*0.22</f>
        <v>0.11</v>
      </c>
      <c r="AG177" s="250" t="s">
        <v>395</v>
      </c>
      <c r="AH177" s="25">
        <f t="shared" ref="AH177:AH214" si="145">BC177/18.8</f>
        <v>11.702127659574467</v>
      </c>
      <c r="AI177" s="25">
        <f>BD177/18.8</f>
        <v>4.0425531914893613E-2</v>
      </c>
      <c r="AJ177" s="24">
        <f>BE177/18.8</f>
        <v>1.276595744680851E-2</v>
      </c>
      <c r="AK177" s="24">
        <f t="shared" si="143"/>
        <v>5.8510638297872338E-3</v>
      </c>
      <c r="AL177" s="24" t="s">
        <v>395</v>
      </c>
      <c r="AM177" s="24">
        <f t="shared" si="144"/>
        <v>1.276595744680851E-2</v>
      </c>
      <c r="AN177" s="24">
        <f t="shared" si="144"/>
        <v>0.27659574468085107</v>
      </c>
      <c r="AO177" s="24">
        <f t="shared" si="144"/>
        <v>0.25</v>
      </c>
      <c r="AP177" s="24" t="s">
        <v>395</v>
      </c>
      <c r="AQ177" s="24" t="s">
        <v>395</v>
      </c>
      <c r="AR177" s="24" t="s">
        <v>395</v>
      </c>
      <c r="AS177" s="5" t="s">
        <v>395</v>
      </c>
      <c r="AT177" s="5" t="s">
        <v>395</v>
      </c>
      <c r="AU177" s="5" t="s">
        <v>395</v>
      </c>
      <c r="AV177" s="5" t="s">
        <v>395</v>
      </c>
      <c r="AW177" s="5" t="s">
        <v>395</v>
      </c>
      <c r="AX177" s="5" t="s">
        <v>395</v>
      </c>
      <c r="AY177" s="5" t="s">
        <v>395</v>
      </c>
      <c r="AZ177" s="5" t="s">
        <v>395</v>
      </c>
      <c r="BA177" s="5" t="s">
        <v>395</v>
      </c>
      <c r="BB177" s="5" t="s">
        <v>395</v>
      </c>
      <c r="BC177" s="24">
        <v>220</v>
      </c>
      <c r="BD177" s="24">
        <v>0.76</v>
      </c>
      <c r="BE177" s="24">
        <v>0.24</v>
      </c>
      <c r="BF177" s="24">
        <v>0.11</v>
      </c>
      <c r="BG177" s="24" t="s">
        <v>160</v>
      </c>
      <c r="BH177" s="24">
        <v>0.24</v>
      </c>
      <c r="BI177" s="24">
        <v>5.2</v>
      </c>
      <c r="BJ177" s="24">
        <v>4.7</v>
      </c>
      <c r="BK177" s="24" t="s">
        <v>160</v>
      </c>
      <c r="BL177" s="24" t="s">
        <v>160</v>
      </c>
      <c r="BM177" s="5" t="s">
        <v>395</v>
      </c>
      <c r="BN177" s="5" t="s">
        <v>395</v>
      </c>
      <c r="BO177" s="5" t="s">
        <v>395</v>
      </c>
      <c r="BP177" s="5" t="s">
        <v>395</v>
      </c>
      <c r="BQ177" s="5" t="s">
        <v>395</v>
      </c>
      <c r="BR177" s="5" t="s">
        <v>395</v>
      </c>
      <c r="BS177" s="5" t="s">
        <v>395</v>
      </c>
      <c r="BT177" s="5" t="s">
        <v>395</v>
      </c>
      <c r="BU177" s="5" t="s">
        <v>395</v>
      </c>
      <c r="BV177" s="5" t="s">
        <v>395</v>
      </c>
      <c r="BW177" s="5" t="s">
        <v>395</v>
      </c>
      <c r="BX177" s="5" t="s">
        <v>395</v>
      </c>
      <c r="BY177" s="5" t="s">
        <v>395</v>
      </c>
      <c r="BZ177" s="5" t="s">
        <v>395</v>
      </c>
      <c r="CA177" s="5" t="s">
        <v>395</v>
      </c>
      <c r="CB177" s="5" t="s">
        <v>395</v>
      </c>
      <c r="CC177" s="5" t="s">
        <v>395</v>
      </c>
      <c r="CD177" s="5" t="s">
        <v>395</v>
      </c>
      <c r="CE177" s="5" t="s">
        <v>395</v>
      </c>
      <c r="CF177" s="5" t="s">
        <v>395</v>
      </c>
      <c r="CG177" s="5" t="s">
        <v>395</v>
      </c>
      <c r="CH177" s="5" t="s">
        <v>395</v>
      </c>
      <c r="CI177" s="5" t="s">
        <v>395</v>
      </c>
      <c r="CJ177" s="5" t="s">
        <v>395</v>
      </c>
      <c r="CK177" s="5" t="s">
        <v>395</v>
      </c>
      <c r="CL177" s="5" t="s">
        <v>395</v>
      </c>
      <c r="CM177" s="5" t="s">
        <v>395</v>
      </c>
      <c r="CN177" s="5" t="s">
        <v>395</v>
      </c>
      <c r="CO177" s="5" t="s">
        <v>395</v>
      </c>
      <c r="CP177" s="5" t="s">
        <v>395</v>
      </c>
      <c r="CQ177" s="5" t="s">
        <v>395</v>
      </c>
      <c r="CR177" s="5" t="s">
        <v>395</v>
      </c>
      <c r="CS177" s="5" t="s">
        <v>395</v>
      </c>
      <c r="CT177" s="5" t="s">
        <v>395</v>
      </c>
      <c r="CU177" s="5" t="s">
        <v>395</v>
      </c>
      <c r="CV177" s="5" t="s">
        <v>395</v>
      </c>
      <c r="CW177" s="5" t="s">
        <v>395</v>
      </c>
      <c r="CX177" s="5" t="s">
        <v>395</v>
      </c>
      <c r="CY177" s="252" t="s">
        <v>395</v>
      </c>
    </row>
    <row r="178" spans="1:103" x14ac:dyDescent="0.3">
      <c r="A178" s="30" t="s">
        <v>23</v>
      </c>
      <c r="B178" s="51" t="s">
        <v>23</v>
      </c>
      <c r="C178" s="19" t="s">
        <v>20</v>
      </c>
      <c r="D178" s="19" t="s">
        <v>125</v>
      </c>
      <c r="E178" s="20"/>
      <c r="F178" s="21"/>
      <c r="G178" s="22">
        <v>41898</v>
      </c>
      <c r="H178" s="23">
        <v>2014</v>
      </c>
      <c r="I178" s="121" t="s">
        <v>33</v>
      </c>
      <c r="J178" s="121">
        <v>10</v>
      </c>
      <c r="K178" s="251" t="s">
        <v>395</v>
      </c>
      <c r="L178" s="5" t="s">
        <v>395</v>
      </c>
      <c r="M178" s="24">
        <v>0.4</v>
      </c>
      <c r="N178" s="24">
        <v>1.7</v>
      </c>
      <c r="O178" s="24">
        <v>6.6</v>
      </c>
      <c r="P178" s="24">
        <v>5.5</v>
      </c>
      <c r="Q178" s="24">
        <v>11</v>
      </c>
      <c r="R178" s="24">
        <v>11</v>
      </c>
      <c r="S178" s="24">
        <v>4.3</v>
      </c>
      <c r="T178" s="24">
        <v>41</v>
      </c>
      <c r="U178" s="5" t="s">
        <v>395</v>
      </c>
      <c r="V178" s="5">
        <f>0.5*0.024</f>
        <v>1.2E-2</v>
      </c>
      <c r="W178" s="5">
        <v>6.9000000000000006E-2</v>
      </c>
      <c r="X178" s="5">
        <v>4.4999999999999998E-2</v>
      </c>
      <c r="Y178" s="5">
        <v>3.7999999999999999E-2</v>
      </c>
      <c r="Z178" s="5">
        <v>5.1999999999999998E-2</v>
      </c>
      <c r="AA178" s="5">
        <f>0.5*0.026</f>
        <v>1.2999999999999999E-2</v>
      </c>
      <c r="AB178" s="5">
        <f>0.5*0.026</f>
        <v>1.2999999999999999E-2</v>
      </c>
      <c r="AC178" s="5">
        <f>0.5*0.11</f>
        <v>5.5E-2</v>
      </c>
      <c r="AD178" s="5">
        <v>0.20400000000000001</v>
      </c>
      <c r="AE178" s="5">
        <f>SUM(V178,W178,Y178,X178,AB178,AA178)</f>
        <v>0.19</v>
      </c>
      <c r="AF178" s="24">
        <f>0.5*0.31</f>
        <v>0.155</v>
      </c>
      <c r="AG178" s="250" t="s">
        <v>395</v>
      </c>
      <c r="AH178" s="25">
        <f t="shared" si="145"/>
        <v>6.914893617021276</v>
      </c>
      <c r="AI178" s="25">
        <f>BD178/18.8</f>
        <v>4.9468085106382981E-2</v>
      </c>
      <c r="AJ178" s="24">
        <f>BE178/18.8</f>
        <v>2.3404255319148935E-2</v>
      </c>
      <c r="AK178" s="24">
        <f t="shared" si="143"/>
        <v>2.5000000000000001E-3</v>
      </c>
      <c r="AL178" s="24" t="s">
        <v>395</v>
      </c>
      <c r="AM178" s="24">
        <f t="shared" si="144"/>
        <v>2.7659574468085105E-2</v>
      </c>
      <c r="AN178" s="24">
        <f t="shared" si="144"/>
        <v>0.3457446808510638</v>
      </c>
      <c r="AO178" s="24">
        <f t="shared" si="144"/>
        <v>0.1702127659574468</v>
      </c>
      <c r="AP178" s="24" t="s">
        <v>395</v>
      </c>
      <c r="AQ178" s="24" t="s">
        <v>395</v>
      </c>
      <c r="AR178" s="24" t="s">
        <v>395</v>
      </c>
      <c r="AS178" s="5" t="s">
        <v>395</v>
      </c>
      <c r="AT178" s="5" t="s">
        <v>395</v>
      </c>
      <c r="AU178" s="5" t="s">
        <v>395</v>
      </c>
      <c r="AV178" s="5" t="s">
        <v>395</v>
      </c>
      <c r="AW178" s="5" t="s">
        <v>395</v>
      </c>
      <c r="AX178" s="5" t="s">
        <v>395</v>
      </c>
      <c r="AY178" s="5" t="s">
        <v>395</v>
      </c>
      <c r="AZ178" s="5" t="s">
        <v>395</v>
      </c>
      <c r="BA178" s="5" t="s">
        <v>395</v>
      </c>
      <c r="BB178" s="5" t="s">
        <v>395</v>
      </c>
      <c r="BC178" s="24">
        <v>130</v>
      </c>
      <c r="BD178" s="24">
        <v>0.93</v>
      </c>
      <c r="BE178" s="24">
        <v>0.44</v>
      </c>
      <c r="BF178" s="24">
        <v>4.7E-2</v>
      </c>
      <c r="BG178" s="24" t="s">
        <v>160</v>
      </c>
      <c r="BH178" s="24">
        <v>0.52</v>
      </c>
      <c r="BI178" s="24">
        <v>6.5</v>
      </c>
      <c r="BJ178" s="24">
        <v>3.2</v>
      </c>
      <c r="BK178" s="24" t="s">
        <v>160</v>
      </c>
      <c r="BL178" s="24" t="s">
        <v>160</v>
      </c>
      <c r="BM178" s="5" t="s">
        <v>395</v>
      </c>
      <c r="BN178" s="5" t="s">
        <v>395</v>
      </c>
      <c r="BO178" s="5" t="s">
        <v>395</v>
      </c>
      <c r="BP178" s="5" t="s">
        <v>395</v>
      </c>
      <c r="BQ178" s="5" t="s">
        <v>395</v>
      </c>
      <c r="BR178" s="5" t="s">
        <v>395</v>
      </c>
      <c r="BS178" s="5" t="s">
        <v>395</v>
      </c>
      <c r="BT178" s="5" t="s">
        <v>395</v>
      </c>
      <c r="BU178" s="5" t="s">
        <v>395</v>
      </c>
      <c r="BV178" s="5" t="s">
        <v>395</v>
      </c>
      <c r="BW178" s="5" t="s">
        <v>395</v>
      </c>
      <c r="BX178" s="5" t="s">
        <v>395</v>
      </c>
      <c r="BY178" s="5" t="s">
        <v>395</v>
      </c>
      <c r="BZ178" s="5" t="s">
        <v>395</v>
      </c>
      <c r="CA178" s="5" t="s">
        <v>395</v>
      </c>
      <c r="CB178" s="5" t="s">
        <v>395</v>
      </c>
      <c r="CC178" s="5" t="s">
        <v>395</v>
      </c>
      <c r="CD178" s="5" t="s">
        <v>395</v>
      </c>
      <c r="CE178" s="5" t="s">
        <v>395</v>
      </c>
      <c r="CF178" s="5" t="s">
        <v>395</v>
      </c>
      <c r="CG178" s="5" t="s">
        <v>395</v>
      </c>
      <c r="CH178" s="5" t="s">
        <v>395</v>
      </c>
      <c r="CI178" s="5" t="s">
        <v>395</v>
      </c>
      <c r="CJ178" s="5" t="s">
        <v>395</v>
      </c>
      <c r="CK178" s="5" t="s">
        <v>395</v>
      </c>
      <c r="CL178" s="5" t="s">
        <v>395</v>
      </c>
      <c r="CM178" s="5" t="s">
        <v>395</v>
      </c>
      <c r="CN178" s="5" t="s">
        <v>395</v>
      </c>
      <c r="CO178" s="5" t="s">
        <v>395</v>
      </c>
      <c r="CP178" s="5" t="s">
        <v>395</v>
      </c>
      <c r="CQ178" s="5" t="s">
        <v>395</v>
      </c>
      <c r="CR178" s="5" t="s">
        <v>395</v>
      </c>
      <c r="CS178" s="5" t="s">
        <v>395</v>
      </c>
      <c r="CT178" s="5" t="s">
        <v>395</v>
      </c>
      <c r="CU178" s="5" t="s">
        <v>395</v>
      </c>
      <c r="CV178" s="5" t="s">
        <v>395</v>
      </c>
      <c r="CW178" s="5" t="s">
        <v>395</v>
      </c>
      <c r="CX178" s="5" t="s">
        <v>395</v>
      </c>
      <c r="CY178" s="252" t="s">
        <v>395</v>
      </c>
    </row>
    <row r="179" spans="1:103" x14ac:dyDescent="0.3">
      <c r="A179" s="30" t="s">
        <v>112</v>
      </c>
      <c r="B179" s="51" t="s">
        <v>24</v>
      </c>
      <c r="C179" s="19" t="s">
        <v>20</v>
      </c>
      <c r="D179" s="19" t="s">
        <v>125</v>
      </c>
      <c r="G179" s="22">
        <v>41517</v>
      </c>
      <c r="H179" s="16">
        <v>2013</v>
      </c>
      <c r="I179" s="121" t="s">
        <v>33</v>
      </c>
      <c r="J179" s="121">
        <v>10</v>
      </c>
      <c r="K179" s="251">
        <v>0.72346398877015194</v>
      </c>
      <c r="L179" s="5" t="s">
        <v>395</v>
      </c>
      <c r="M179" s="5" t="s">
        <v>395</v>
      </c>
      <c r="N179" s="5" t="s">
        <v>395</v>
      </c>
      <c r="O179" s="5" t="s">
        <v>395</v>
      </c>
      <c r="P179" s="5" t="s">
        <v>395</v>
      </c>
      <c r="Q179" s="5" t="s">
        <v>395</v>
      </c>
      <c r="R179" s="5" t="s">
        <v>395</v>
      </c>
      <c r="S179" s="5" t="s">
        <v>395</v>
      </c>
      <c r="T179" s="5" t="s">
        <v>395</v>
      </c>
      <c r="U179" s="5" t="s">
        <v>395</v>
      </c>
      <c r="V179" s="5" t="s">
        <v>395</v>
      </c>
      <c r="W179" s="5" t="s">
        <v>395</v>
      </c>
      <c r="X179" s="5" t="s">
        <v>395</v>
      </c>
      <c r="Y179" s="5" t="s">
        <v>395</v>
      </c>
      <c r="Z179" s="5" t="s">
        <v>395</v>
      </c>
      <c r="AA179" s="5" t="s">
        <v>395</v>
      </c>
      <c r="AB179" s="5" t="s">
        <v>395</v>
      </c>
      <c r="AC179" s="5" t="s">
        <v>395</v>
      </c>
      <c r="AD179" s="5" t="s">
        <v>395</v>
      </c>
      <c r="AE179" s="5" t="s">
        <v>395</v>
      </c>
      <c r="AF179" s="5" t="s">
        <v>395</v>
      </c>
      <c r="AG179" s="250" t="s">
        <v>395</v>
      </c>
      <c r="AH179" s="25">
        <f t="shared" si="145"/>
        <v>16.648936170212764</v>
      </c>
      <c r="AI179" s="24" t="s">
        <v>395</v>
      </c>
      <c r="AJ179" s="24" t="s">
        <v>395</v>
      </c>
      <c r="AK179" s="24">
        <f t="shared" si="143"/>
        <v>4.6755319148936166E-2</v>
      </c>
      <c r="AL179" s="24" t="s">
        <v>395</v>
      </c>
      <c r="AM179" s="24" t="s">
        <v>395</v>
      </c>
      <c r="AN179" s="24" t="s">
        <v>395</v>
      </c>
      <c r="AO179" s="24" t="s">
        <v>395</v>
      </c>
      <c r="AP179" s="24" t="s">
        <v>395</v>
      </c>
      <c r="AQ179" s="24" t="s">
        <v>395</v>
      </c>
      <c r="AR179" s="24" t="s">
        <v>395</v>
      </c>
      <c r="AS179" s="5" t="s">
        <v>395</v>
      </c>
      <c r="AT179" s="5" t="s">
        <v>395</v>
      </c>
      <c r="AU179" s="5" t="s">
        <v>395</v>
      </c>
      <c r="AV179" s="5" t="s">
        <v>395</v>
      </c>
      <c r="AW179" s="5" t="s">
        <v>395</v>
      </c>
      <c r="AX179" s="5" t="s">
        <v>395</v>
      </c>
      <c r="AY179" s="5" t="s">
        <v>395</v>
      </c>
      <c r="AZ179" s="5" t="s">
        <v>395</v>
      </c>
      <c r="BA179" s="5" t="s">
        <v>395</v>
      </c>
      <c r="BB179" s="5" t="s">
        <v>395</v>
      </c>
      <c r="BC179" s="24">
        <v>313</v>
      </c>
      <c r="BD179" s="24" t="s">
        <v>160</v>
      </c>
      <c r="BE179" s="24" t="s">
        <v>160</v>
      </c>
      <c r="BF179" s="24">
        <v>0.879</v>
      </c>
      <c r="BG179" s="5" t="s">
        <v>395</v>
      </c>
      <c r="BH179" s="5" t="s">
        <v>395</v>
      </c>
      <c r="BI179" s="5" t="s">
        <v>395</v>
      </c>
      <c r="BJ179" s="5" t="s">
        <v>395</v>
      </c>
      <c r="BK179" s="5" t="s">
        <v>395</v>
      </c>
      <c r="BL179" s="5" t="s">
        <v>395</v>
      </c>
      <c r="BM179" s="5" t="s">
        <v>395</v>
      </c>
      <c r="BN179" s="5" t="s">
        <v>395</v>
      </c>
      <c r="BO179" s="5" t="s">
        <v>395</v>
      </c>
      <c r="BP179" s="5" t="s">
        <v>395</v>
      </c>
      <c r="BQ179" s="5" t="s">
        <v>395</v>
      </c>
      <c r="BR179" s="5" t="s">
        <v>395</v>
      </c>
      <c r="BS179" s="5" t="s">
        <v>395</v>
      </c>
      <c r="BT179" s="5" t="s">
        <v>395</v>
      </c>
      <c r="BU179" s="5" t="s">
        <v>395</v>
      </c>
      <c r="BV179" s="5" t="s">
        <v>395</v>
      </c>
      <c r="BW179" s="5" t="s">
        <v>395</v>
      </c>
      <c r="BX179" s="5" t="s">
        <v>395</v>
      </c>
      <c r="BY179" s="5" t="s">
        <v>395</v>
      </c>
      <c r="BZ179" s="5" t="s">
        <v>395</v>
      </c>
      <c r="CA179" s="5" t="s">
        <v>395</v>
      </c>
      <c r="CB179" s="5" t="s">
        <v>395</v>
      </c>
      <c r="CC179" s="5" t="s">
        <v>395</v>
      </c>
      <c r="CD179" s="5" t="s">
        <v>395</v>
      </c>
      <c r="CE179" s="5" t="s">
        <v>395</v>
      </c>
      <c r="CF179" s="5" t="s">
        <v>395</v>
      </c>
      <c r="CG179" s="5" t="s">
        <v>395</v>
      </c>
      <c r="CH179" s="5" t="s">
        <v>395</v>
      </c>
      <c r="CI179" s="54">
        <v>93.000274130019179</v>
      </c>
      <c r="CJ179" s="54">
        <v>250</v>
      </c>
      <c r="CK179" s="54">
        <v>790</v>
      </c>
      <c r="CL179" s="54">
        <v>650</v>
      </c>
      <c r="CM179" s="54">
        <v>1300</v>
      </c>
      <c r="CN179" s="54">
        <v>1200</v>
      </c>
      <c r="CO179" s="54">
        <v>400</v>
      </c>
      <c r="CP179" s="54">
        <v>4700</v>
      </c>
      <c r="CQ179" s="55">
        <v>35.633283657609191</v>
      </c>
      <c r="CR179" s="56">
        <v>9.6430277939406324</v>
      </c>
      <c r="CS179" s="55">
        <v>10.989990406427578</v>
      </c>
      <c r="CT179" s="56">
        <f>0.5*2.9</f>
        <v>1.45</v>
      </c>
      <c r="CU179" s="56">
        <v>3.5957958992964181</v>
      </c>
      <c r="CV179" s="56">
        <v>7.1021665022038949</v>
      </c>
      <c r="CW179" s="56">
        <f>0.5*72</f>
        <v>36</v>
      </c>
      <c r="CX179" s="55">
        <v>67</v>
      </c>
      <c r="CY179" s="60">
        <f>0.5*43</f>
        <v>21.5</v>
      </c>
    </row>
    <row r="180" spans="1:103" x14ac:dyDescent="0.3">
      <c r="A180" s="30" t="s">
        <v>22</v>
      </c>
      <c r="B180" s="51" t="s">
        <v>22</v>
      </c>
      <c r="C180" s="19" t="s">
        <v>20</v>
      </c>
      <c r="D180" s="19" t="s">
        <v>125</v>
      </c>
      <c r="G180" s="22">
        <v>41514</v>
      </c>
      <c r="H180" s="16">
        <v>2013</v>
      </c>
      <c r="I180" s="121" t="s">
        <v>33</v>
      </c>
      <c r="J180" s="121">
        <v>10</v>
      </c>
      <c r="K180" s="251">
        <v>0.6</v>
      </c>
      <c r="L180" s="5" t="s">
        <v>395</v>
      </c>
      <c r="M180" s="5" t="s">
        <v>395</v>
      </c>
      <c r="N180" s="5" t="s">
        <v>395</v>
      </c>
      <c r="O180" s="5" t="s">
        <v>395</v>
      </c>
      <c r="P180" s="5" t="s">
        <v>395</v>
      </c>
      <c r="Q180" s="5" t="s">
        <v>395</v>
      </c>
      <c r="R180" s="5" t="s">
        <v>395</v>
      </c>
      <c r="S180" s="5" t="s">
        <v>395</v>
      </c>
      <c r="T180" s="5" t="s">
        <v>395</v>
      </c>
      <c r="U180" s="5" t="s">
        <v>395</v>
      </c>
      <c r="V180" s="5" t="s">
        <v>395</v>
      </c>
      <c r="W180" s="5" t="s">
        <v>395</v>
      </c>
      <c r="X180" s="5" t="s">
        <v>395</v>
      </c>
      <c r="Y180" s="5" t="s">
        <v>395</v>
      </c>
      <c r="Z180" s="5" t="s">
        <v>395</v>
      </c>
      <c r="AA180" s="5" t="s">
        <v>395</v>
      </c>
      <c r="AB180" s="5" t="s">
        <v>395</v>
      </c>
      <c r="AC180" s="5" t="s">
        <v>395</v>
      </c>
      <c r="AD180" s="5" t="s">
        <v>395</v>
      </c>
      <c r="AE180" s="5" t="s">
        <v>395</v>
      </c>
      <c r="AF180" s="5" t="s">
        <v>395</v>
      </c>
      <c r="AG180" s="250" t="s">
        <v>395</v>
      </c>
      <c r="AH180" s="25">
        <f t="shared" si="145"/>
        <v>9.8936170212765955</v>
      </c>
      <c r="AI180" s="24" t="s">
        <v>395</v>
      </c>
      <c r="AJ180" s="24" t="s">
        <v>395</v>
      </c>
      <c r="AK180" s="24">
        <f t="shared" si="143"/>
        <v>4.1382978723404254E-2</v>
      </c>
      <c r="AL180" s="24" t="s">
        <v>395</v>
      </c>
      <c r="AM180" s="24" t="s">
        <v>395</v>
      </c>
      <c r="AN180" s="24" t="s">
        <v>395</v>
      </c>
      <c r="AO180" s="24" t="s">
        <v>395</v>
      </c>
      <c r="AP180" s="24" t="s">
        <v>395</v>
      </c>
      <c r="AQ180" s="24" t="s">
        <v>395</v>
      </c>
      <c r="AR180" s="24" t="s">
        <v>395</v>
      </c>
      <c r="AS180" s="5" t="s">
        <v>395</v>
      </c>
      <c r="AT180" s="5" t="s">
        <v>395</v>
      </c>
      <c r="AU180" s="5" t="s">
        <v>395</v>
      </c>
      <c r="AV180" s="5" t="s">
        <v>395</v>
      </c>
      <c r="AW180" s="5" t="s">
        <v>395</v>
      </c>
      <c r="AX180" s="5" t="s">
        <v>395</v>
      </c>
      <c r="AY180" s="5" t="s">
        <v>395</v>
      </c>
      <c r="AZ180" s="5" t="s">
        <v>395</v>
      </c>
      <c r="BA180" s="5" t="s">
        <v>395</v>
      </c>
      <c r="BB180" s="5" t="s">
        <v>395</v>
      </c>
      <c r="BC180" s="24">
        <v>186</v>
      </c>
      <c r="BD180" s="24" t="s">
        <v>160</v>
      </c>
      <c r="BE180" s="24" t="s">
        <v>160</v>
      </c>
      <c r="BF180" s="24">
        <v>0.77800000000000002</v>
      </c>
      <c r="BG180" s="5" t="s">
        <v>395</v>
      </c>
      <c r="BH180" s="5" t="s">
        <v>395</v>
      </c>
      <c r="BI180" s="5" t="s">
        <v>395</v>
      </c>
      <c r="BJ180" s="5" t="s">
        <v>395</v>
      </c>
      <c r="BK180" s="5" t="s">
        <v>395</v>
      </c>
      <c r="BL180" s="5" t="s">
        <v>395</v>
      </c>
      <c r="BM180" s="5" t="s">
        <v>395</v>
      </c>
      <c r="BN180" s="5" t="s">
        <v>395</v>
      </c>
      <c r="BO180" s="5" t="s">
        <v>395</v>
      </c>
      <c r="BP180" s="5" t="s">
        <v>395</v>
      </c>
      <c r="BQ180" s="5" t="s">
        <v>395</v>
      </c>
      <c r="BR180" s="5" t="s">
        <v>395</v>
      </c>
      <c r="BS180" s="5" t="s">
        <v>395</v>
      </c>
      <c r="BT180" s="5" t="s">
        <v>395</v>
      </c>
      <c r="BU180" s="5" t="s">
        <v>395</v>
      </c>
      <c r="BV180" s="5" t="s">
        <v>395</v>
      </c>
      <c r="BW180" s="5" t="s">
        <v>395</v>
      </c>
      <c r="BX180" s="5" t="s">
        <v>395</v>
      </c>
      <c r="BY180" s="5" t="s">
        <v>395</v>
      </c>
      <c r="BZ180" s="5" t="s">
        <v>395</v>
      </c>
      <c r="CA180" s="5" t="s">
        <v>395</v>
      </c>
      <c r="CB180" s="5" t="s">
        <v>395</v>
      </c>
      <c r="CC180" s="5" t="s">
        <v>395</v>
      </c>
      <c r="CD180" s="5" t="s">
        <v>395</v>
      </c>
      <c r="CE180" s="5" t="s">
        <v>395</v>
      </c>
      <c r="CF180" s="5" t="s">
        <v>395</v>
      </c>
      <c r="CG180" s="5" t="s">
        <v>395</v>
      </c>
      <c r="CH180" s="5" t="s">
        <v>395</v>
      </c>
      <c r="CI180" s="54">
        <v>120</v>
      </c>
      <c r="CJ180" s="54">
        <v>340</v>
      </c>
      <c r="CK180" s="54">
        <v>1200</v>
      </c>
      <c r="CL180" s="54">
        <v>1100</v>
      </c>
      <c r="CM180" s="54">
        <v>2500</v>
      </c>
      <c r="CN180" s="54">
        <v>2100</v>
      </c>
      <c r="CO180" s="54">
        <v>790</v>
      </c>
      <c r="CP180" s="54">
        <v>8200</v>
      </c>
      <c r="CQ180" s="55">
        <v>46.584094456111437</v>
      </c>
      <c r="CR180" s="55">
        <v>20.559460681747506</v>
      </c>
      <c r="CS180" s="55">
        <v>51.305706583746037</v>
      </c>
      <c r="CT180" s="55">
        <v>37.744316203102883</v>
      </c>
      <c r="CU180" s="55">
        <v>12.747875808291212</v>
      </c>
      <c r="CV180" s="55">
        <v>18.068531449058387</v>
      </c>
      <c r="CW180" s="57">
        <f>0.5*86</f>
        <v>43</v>
      </c>
      <c r="CX180" s="57">
        <v>190</v>
      </c>
      <c r="CY180" s="61">
        <f>0.5*52</f>
        <v>26</v>
      </c>
    </row>
    <row r="181" spans="1:103" x14ac:dyDescent="0.3">
      <c r="A181" s="30" t="s">
        <v>21</v>
      </c>
      <c r="B181" s="51" t="s">
        <v>21</v>
      </c>
      <c r="C181" s="19" t="s">
        <v>20</v>
      </c>
      <c r="D181" s="19" t="s">
        <v>125</v>
      </c>
      <c r="G181" s="22">
        <v>41530</v>
      </c>
      <c r="H181" s="16">
        <v>2013</v>
      </c>
      <c r="I181" s="121" t="s">
        <v>33</v>
      </c>
      <c r="J181" s="121">
        <v>10</v>
      </c>
      <c r="K181" s="251">
        <v>0.6</v>
      </c>
      <c r="L181" s="5" t="s">
        <v>395</v>
      </c>
      <c r="M181" s="5" t="s">
        <v>395</v>
      </c>
      <c r="N181" s="5" t="s">
        <v>395</v>
      </c>
      <c r="O181" s="5" t="s">
        <v>395</v>
      </c>
      <c r="P181" s="5" t="s">
        <v>395</v>
      </c>
      <c r="Q181" s="5" t="s">
        <v>395</v>
      </c>
      <c r="R181" s="5" t="s">
        <v>395</v>
      </c>
      <c r="S181" s="5" t="s">
        <v>395</v>
      </c>
      <c r="T181" s="5" t="s">
        <v>395</v>
      </c>
      <c r="U181" s="5" t="s">
        <v>395</v>
      </c>
      <c r="V181" s="5" t="s">
        <v>395</v>
      </c>
      <c r="W181" s="5" t="s">
        <v>395</v>
      </c>
      <c r="X181" s="5" t="s">
        <v>395</v>
      </c>
      <c r="Y181" s="5" t="s">
        <v>395</v>
      </c>
      <c r="Z181" s="5" t="s">
        <v>395</v>
      </c>
      <c r="AA181" s="5" t="s">
        <v>395</v>
      </c>
      <c r="AB181" s="5" t="s">
        <v>395</v>
      </c>
      <c r="AC181" s="5" t="s">
        <v>395</v>
      </c>
      <c r="AD181" s="5" t="s">
        <v>395</v>
      </c>
      <c r="AE181" s="5" t="s">
        <v>395</v>
      </c>
      <c r="AF181" s="5" t="s">
        <v>395</v>
      </c>
      <c r="AG181" s="250" t="s">
        <v>395</v>
      </c>
      <c r="AH181" s="25">
        <f t="shared" si="145"/>
        <v>29.680851063829785</v>
      </c>
      <c r="AI181" s="24">
        <f>BD181/18.8</f>
        <v>6.5957446808510636E-3</v>
      </c>
      <c r="AJ181" s="24" t="s">
        <v>395</v>
      </c>
      <c r="AK181" s="24">
        <f t="shared" si="143"/>
        <v>6.1170212765957438E-2</v>
      </c>
      <c r="AL181" s="24" t="s">
        <v>395</v>
      </c>
      <c r="AM181" s="24" t="s">
        <v>395</v>
      </c>
      <c r="AN181" s="24" t="s">
        <v>395</v>
      </c>
      <c r="AO181" s="24" t="s">
        <v>395</v>
      </c>
      <c r="AP181" s="24" t="s">
        <v>395</v>
      </c>
      <c r="AQ181" s="24" t="s">
        <v>395</v>
      </c>
      <c r="AR181" s="24" t="s">
        <v>395</v>
      </c>
      <c r="AS181" s="5" t="s">
        <v>395</v>
      </c>
      <c r="AT181" s="5" t="s">
        <v>395</v>
      </c>
      <c r="AU181" s="5" t="s">
        <v>395</v>
      </c>
      <c r="AV181" s="5" t="s">
        <v>395</v>
      </c>
      <c r="AW181" s="5" t="s">
        <v>395</v>
      </c>
      <c r="AX181" s="5" t="s">
        <v>395</v>
      </c>
      <c r="AY181" s="5" t="s">
        <v>395</v>
      </c>
      <c r="AZ181" s="5" t="s">
        <v>395</v>
      </c>
      <c r="BA181" s="5" t="s">
        <v>395</v>
      </c>
      <c r="BB181" s="5" t="s">
        <v>395</v>
      </c>
      <c r="BC181" s="24">
        <v>558</v>
      </c>
      <c r="BD181" s="24">
        <v>0.124</v>
      </c>
      <c r="BE181" s="24" t="s">
        <v>160</v>
      </c>
      <c r="BF181" s="24">
        <v>1.1499999999999999</v>
      </c>
      <c r="BG181" s="5" t="s">
        <v>395</v>
      </c>
      <c r="BH181" s="5" t="s">
        <v>395</v>
      </c>
      <c r="BI181" s="5" t="s">
        <v>395</v>
      </c>
      <c r="BJ181" s="5" t="s">
        <v>395</v>
      </c>
      <c r="BK181" s="5" t="s">
        <v>395</v>
      </c>
      <c r="BL181" s="5" t="s">
        <v>395</v>
      </c>
      <c r="BM181" s="5" t="s">
        <v>395</v>
      </c>
      <c r="BN181" s="5" t="s">
        <v>395</v>
      </c>
      <c r="BO181" s="5" t="s">
        <v>395</v>
      </c>
      <c r="BP181" s="5" t="s">
        <v>395</v>
      </c>
      <c r="BQ181" s="5" t="s">
        <v>395</v>
      </c>
      <c r="BR181" s="5" t="s">
        <v>395</v>
      </c>
      <c r="BS181" s="5" t="s">
        <v>395</v>
      </c>
      <c r="BT181" s="5" t="s">
        <v>395</v>
      </c>
      <c r="BU181" s="5" t="s">
        <v>395</v>
      </c>
      <c r="BV181" s="5" t="s">
        <v>395</v>
      </c>
      <c r="BW181" s="5" t="s">
        <v>395</v>
      </c>
      <c r="BX181" s="5" t="s">
        <v>395</v>
      </c>
      <c r="BY181" s="5" t="s">
        <v>395</v>
      </c>
      <c r="BZ181" s="5" t="s">
        <v>395</v>
      </c>
      <c r="CA181" s="5" t="s">
        <v>395</v>
      </c>
      <c r="CB181" s="5" t="s">
        <v>395</v>
      </c>
      <c r="CC181" s="5" t="s">
        <v>395</v>
      </c>
      <c r="CD181" s="5" t="s">
        <v>395</v>
      </c>
      <c r="CE181" s="5" t="s">
        <v>395</v>
      </c>
      <c r="CF181" s="5" t="s">
        <v>395</v>
      </c>
      <c r="CG181" s="5" t="s">
        <v>395</v>
      </c>
      <c r="CH181" s="5" t="s">
        <v>395</v>
      </c>
      <c r="CI181" s="58">
        <v>8.0183398882219432</v>
      </c>
      <c r="CJ181" s="54">
        <v>30.650191001298602</v>
      </c>
      <c r="CK181" s="54">
        <v>370</v>
      </c>
      <c r="CL181" s="54">
        <v>320</v>
      </c>
      <c r="CM181" s="54">
        <v>1600</v>
      </c>
      <c r="CN181" s="54">
        <v>1400</v>
      </c>
      <c r="CO181" s="54">
        <v>550</v>
      </c>
      <c r="CP181" s="54">
        <v>4300</v>
      </c>
      <c r="CQ181" s="55">
        <v>57.933770906985842</v>
      </c>
      <c r="CR181" s="55">
        <v>18.98599518174079</v>
      </c>
      <c r="CS181" s="55">
        <v>30.639660359373163</v>
      </c>
      <c r="CT181" s="56">
        <f>0.5*3.7</f>
        <v>1.85</v>
      </c>
      <c r="CU181" s="56">
        <v>8.2103429222489535</v>
      </c>
      <c r="CV181" s="56">
        <v>6.5517017146976286</v>
      </c>
      <c r="CW181" s="56">
        <f>0.5*87</f>
        <v>43.5</v>
      </c>
      <c r="CX181" s="55">
        <v>120</v>
      </c>
      <c r="CY181" s="60">
        <f>0.5*52</f>
        <v>26</v>
      </c>
    </row>
    <row r="182" spans="1:103" x14ac:dyDescent="0.3">
      <c r="A182" s="30" t="s">
        <v>23</v>
      </c>
      <c r="B182" s="51" t="s">
        <v>23</v>
      </c>
      <c r="C182" s="19" t="s">
        <v>20</v>
      </c>
      <c r="D182" s="19" t="s">
        <v>125</v>
      </c>
      <c r="G182" s="22">
        <v>41513</v>
      </c>
      <c r="H182" s="16">
        <v>2013</v>
      </c>
      <c r="I182" s="121" t="s">
        <v>33</v>
      </c>
      <c r="J182" s="121">
        <v>10</v>
      </c>
      <c r="K182" s="251">
        <v>0.73</v>
      </c>
      <c r="L182" s="5" t="s">
        <v>395</v>
      </c>
      <c r="M182" s="5" t="s">
        <v>395</v>
      </c>
      <c r="N182" s="5" t="s">
        <v>395</v>
      </c>
      <c r="O182" s="5" t="s">
        <v>395</v>
      </c>
      <c r="P182" s="5" t="s">
        <v>395</v>
      </c>
      <c r="Q182" s="5" t="s">
        <v>395</v>
      </c>
      <c r="R182" s="5" t="s">
        <v>395</v>
      </c>
      <c r="S182" s="5" t="s">
        <v>395</v>
      </c>
      <c r="T182" s="5" t="s">
        <v>395</v>
      </c>
      <c r="U182" s="5" t="s">
        <v>395</v>
      </c>
      <c r="V182" s="5" t="s">
        <v>395</v>
      </c>
      <c r="W182" s="5" t="s">
        <v>395</v>
      </c>
      <c r="X182" s="5" t="s">
        <v>395</v>
      </c>
      <c r="Y182" s="5" t="s">
        <v>395</v>
      </c>
      <c r="Z182" s="5" t="s">
        <v>395</v>
      </c>
      <c r="AA182" s="5" t="s">
        <v>395</v>
      </c>
      <c r="AB182" s="5" t="s">
        <v>395</v>
      </c>
      <c r="AC182" s="5" t="s">
        <v>395</v>
      </c>
      <c r="AD182" s="5" t="s">
        <v>395</v>
      </c>
      <c r="AE182" s="5" t="s">
        <v>395</v>
      </c>
      <c r="AF182" s="5" t="s">
        <v>395</v>
      </c>
      <c r="AG182" s="250" t="s">
        <v>395</v>
      </c>
      <c r="AH182" s="25">
        <f t="shared" si="145"/>
        <v>19.148936170212764</v>
      </c>
      <c r="AI182" s="24" t="s">
        <v>395</v>
      </c>
      <c r="AJ182" s="24" t="s">
        <v>395</v>
      </c>
      <c r="AK182" s="24" t="s">
        <v>395</v>
      </c>
      <c r="AL182" s="24" t="s">
        <v>395</v>
      </c>
      <c r="AM182" s="24" t="s">
        <v>395</v>
      </c>
      <c r="AN182" s="24" t="s">
        <v>395</v>
      </c>
      <c r="AO182" s="24" t="s">
        <v>395</v>
      </c>
      <c r="AP182" s="24" t="s">
        <v>395</v>
      </c>
      <c r="AQ182" s="24" t="s">
        <v>395</v>
      </c>
      <c r="AR182" s="24" t="s">
        <v>395</v>
      </c>
      <c r="AS182" s="5" t="s">
        <v>395</v>
      </c>
      <c r="AT182" s="5" t="s">
        <v>395</v>
      </c>
      <c r="AU182" s="5" t="s">
        <v>395</v>
      </c>
      <c r="AV182" s="5" t="s">
        <v>395</v>
      </c>
      <c r="AW182" s="5" t="s">
        <v>395</v>
      </c>
      <c r="AX182" s="5" t="s">
        <v>395</v>
      </c>
      <c r="AY182" s="5" t="s">
        <v>395</v>
      </c>
      <c r="AZ182" s="5" t="s">
        <v>395</v>
      </c>
      <c r="BA182" s="5" t="s">
        <v>395</v>
      </c>
      <c r="BB182" s="5" t="s">
        <v>395</v>
      </c>
      <c r="BC182" s="24">
        <v>360</v>
      </c>
      <c r="BD182" s="24" t="s">
        <v>160</v>
      </c>
      <c r="BE182" s="24" t="s">
        <v>160</v>
      </c>
      <c r="BF182" s="24" t="s">
        <v>160</v>
      </c>
      <c r="BG182" s="5" t="s">
        <v>395</v>
      </c>
      <c r="BH182" s="5" t="s">
        <v>395</v>
      </c>
      <c r="BI182" s="5" t="s">
        <v>395</v>
      </c>
      <c r="BJ182" s="5" t="s">
        <v>395</v>
      </c>
      <c r="BK182" s="5" t="s">
        <v>395</v>
      </c>
      <c r="BL182" s="5" t="s">
        <v>395</v>
      </c>
      <c r="BM182" s="5" t="s">
        <v>395</v>
      </c>
      <c r="BN182" s="5" t="s">
        <v>395</v>
      </c>
      <c r="BO182" s="5" t="s">
        <v>395</v>
      </c>
      <c r="BP182" s="5" t="s">
        <v>395</v>
      </c>
      <c r="BQ182" s="5" t="s">
        <v>395</v>
      </c>
      <c r="BR182" s="5" t="s">
        <v>395</v>
      </c>
      <c r="BS182" s="5" t="s">
        <v>395</v>
      </c>
      <c r="BT182" s="5" t="s">
        <v>395</v>
      </c>
      <c r="BU182" s="5" t="s">
        <v>395</v>
      </c>
      <c r="BV182" s="5" t="s">
        <v>395</v>
      </c>
      <c r="BW182" s="5" t="s">
        <v>395</v>
      </c>
      <c r="BX182" s="5" t="s">
        <v>395</v>
      </c>
      <c r="BY182" s="5" t="s">
        <v>395</v>
      </c>
      <c r="BZ182" s="5" t="s">
        <v>395</v>
      </c>
      <c r="CA182" s="5" t="s">
        <v>395</v>
      </c>
      <c r="CB182" s="5" t="s">
        <v>395</v>
      </c>
      <c r="CC182" s="5" t="s">
        <v>395</v>
      </c>
      <c r="CD182" s="5" t="s">
        <v>395</v>
      </c>
      <c r="CE182" s="5" t="s">
        <v>395</v>
      </c>
      <c r="CF182" s="5" t="s">
        <v>395</v>
      </c>
      <c r="CG182" s="5" t="s">
        <v>395</v>
      </c>
      <c r="CH182" s="5" t="s">
        <v>395</v>
      </c>
      <c r="CI182" s="54">
        <v>61.560161717595648</v>
      </c>
      <c r="CJ182" s="54">
        <v>340</v>
      </c>
      <c r="CK182" s="54">
        <v>1400</v>
      </c>
      <c r="CL182" s="54">
        <v>940</v>
      </c>
      <c r="CM182" s="54">
        <v>2100</v>
      </c>
      <c r="CN182" s="54">
        <v>1900</v>
      </c>
      <c r="CO182" s="54">
        <v>630</v>
      </c>
      <c r="CP182" s="54">
        <v>7400</v>
      </c>
      <c r="CQ182" s="55">
        <v>18.704234802340103</v>
      </c>
      <c r="CR182" s="56">
        <v>6.8320857661242291</v>
      </c>
      <c r="CS182" s="56">
        <v>5.3088666444965327</v>
      </c>
      <c r="CT182" s="56">
        <v>5.4840794016211065</v>
      </c>
      <c r="CU182" s="56">
        <v>3.0185331016054282</v>
      </c>
      <c r="CV182" s="56">
        <v>7.1232894217295248</v>
      </c>
      <c r="CW182" s="55">
        <f>0.5*64</f>
        <v>32</v>
      </c>
      <c r="CX182" s="55">
        <v>46</v>
      </c>
      <c r="CY182" s="60">
        <f>0.5*38</f>
        <v>19</v>
      </c>
    </row>
    <row r="183" spans="1:103" x14ac:dyDescent="0.3">
      <c r="A183" s="31" t="s">
        <v>112</v>
      </c>
      <c r="B183" s="52" t="s">
        <v>24</v>
      </c>
      <c r="C183" s="19" t="s">
        <v>20</v>
      </c>
      <c r="D183" s="19" t="s">
        <v>125</v>
      </c>
      <c r="G183" s="22">
        <v>41146</v>
      </c>
      <c r="H183" s="16">
        <v>2012</v>
      </c>
      <c r="I183" s="121" t="s">
        <v>33</v>
      </c>
      <c r="J183" s="121">
        <v>10</v>
      </c>
      <c r="K183" s="251">
        <v>3.3</v>
      </c>
      <c r="L183" s="5" t="s">
        <v>395</v>
      </c>
      <c r="M183" s="254">
        <f>0.5*0.22</f>
        <v>0.11</v>
      </c>
      <c r="N183" s="254">
        <v>0.25</v>
      </c>
      <c r="O183" s="254">
        <v>0.51</v>
      </c>
      <c r="P183" s="254">
        <v>0.44</v>
      </c>
      <c r="Q183" s="254">
        <v>0.71</v>
      </c>
      <c r="R183" s="254">
        <v>0.56999999999999995</v>
      </c>
      <c r="S183" s="32">
        <v>0.27</v>
      </c>
      <c r="T183" s="24">
        <f t="shared" ref="T183:T189" si="146">SUM(M183:S183)</f>
        <v>2.86</v>
      </c>
      <c r="U183" s="5">
        <f t="shared" si="102"/>
        <v>3.6666666666666665</v>
      </c>
      <c r="V183" s="32">
        <f>0.5*0.0014</f>
        <v>6.9999999999999999E-4</v>
      </c>
      <c r="W183" s="32">
        <f>0.5*0.012</f>
        <v>6.0000000000000001E-3</v>
      </c>
      <c r="X183" s="32">
        <f>0.5*0.0034</f>
        <v>1.6999999999999999E-3</v>
      </c>
      <c r="Y183" s="32">
        <f>0.5*0.0044</f>
        <v>2.2000000000000001E-3</v>
      </c>
      <c r="Z183" s="24" t="s">
        <v>395</v>
      </c>
      <c r="AA183" s="32">
        <f>0.5*0.0016</f>
        <v>8.0000000000000004E-4</v>
      </c>
      <c r="AB183" s="32">
        <f>0.5*0.0054</f>
        <v>2.7000000000000001E-3</v>
      </c>
      <c r="AC183" s="32">
        <f>0.5*0.044</f>
        <v>2.1999999999999999E-2</v>
      </c>
      <c r="AD183" s="5" t="s">
        <v>395</v>
      </c>
      <c r="AE183" s="5">
        <f>SUM(V183,W183,Y183,X183,AB183,AA183)</f>
        <v>1.41E-2</v>
      </c>
      <c r="AF183" s="254">
        <f>0.5*0.5</f>
        <v>0.25</v>
      </c>
      <c r="AG183" s="250" t="s">
        <v>395</v>
      </c>
      <c r="AH183" s="25">
        <f t="shared" si="145"/>
        <v>7.4468085106382977</v>
      </c>
      <c r="AI183" s="25" t="s">
        <v>395</v>
      </c>
      <c r="AJ183" s="25" t="s">
        <v>395</v>
      </c>
      <c r="AK183" s="25" t="s">
        <v>395</v>
      </c>
      <c r="AL183" s="25" t="s">
        <v>395</v>
      </c>
      <c r="AM183" s="25" t="s">
        <v>395</v>
      </c>
      <c r="AN183" s="25">
        <f>BI183/18.8</f>
        <v>0.36170212765957444</v>
      </c>
      <c r="AO183" s="25">
        <f>BJ183/18.8</f>
        <v>7.4468085106382975E-2</v>
      </c>
      <c r="AP183" s="25" t="s">
        <v>395</v>
      </c>
      <c r="AQ183" s="25">
        <f>BL183/18.8</f>
        <v>0.63829787234042545</v>
      </c>
      <c r="AR183" s="25">
        <f>BM183/18.8</f>
        <v>0.53191489361702127</v>
      </c>
      <c r="AS183" s="5" t="s">
        <v>395</v>
      </c>
      <c r="AT183" s="5" t="s">
        <v>395</v>
      </c>
      <c r="AU183" s="5" t="s">
        <v>395</v>
      </c>
      <c r="AV183" s="5" t="s">
        <v>395</v>
      </c>
      <c r="AW183" s="5" t="s">
        <v>395</v>
      </c>
      <c r="AX183" s="5" t="s">
        <v>395</v>
      </c>
      <c r="AY183" s="5" t="s">
        <v>395</v>
      </c>
      <c r="AZ183" s="5" t="s">
        <v>395</v>
      </c>
      <c r="BA183" s="5" t="s">
        <v>395</v>
      </c>
      <c r="BB183" s="5" t="s">
        <v>395</v>
      </c>
      <c r="BC183" s="254">
        <v>140</v>
      </c>
      <c r="BD183" s="254">
        <f>0.5*10</f>
        <v>5</v>
      </c>
      <c r="BE183" s="254">
        <f>0.5*2</f>
        <v>1</v>
      </c>
      <c r="BF183" s="254">
        <f t="shared" ref="BF183:BF189" si="147">0.5*1</f>
        <v>0.5</v>
      </c>
      <c r="BG183" s="254">
        <f>0.5*35</f>
        <v>17.5</v>
      </c>
      <c r="BH183" s="254">
        <f>0.5*10</f>
        <v>5</v>
      </c>
      <c r="BI183" s="254">
        <v>6.8</v>
      </c>
      <c r="BJ183" s="254">
        <v>1.4</v>
      </c>
      <c r="BK183" s="254">
        <f t="shared" ref="BK183:BK189" si="148">0.5*10</f>
        <v>5</v>
      </c>
      <c r="BL183" s="254">
        <v>12</v>
      </c>
      <c r="BM183" s="254">
        <v>10</v>
      </c>
      <c r="BN183" s="5" t="s">
        <v>395</v>
      </c>
      <c r="BO183" s="5" t="s">
        <v>395</v>
      </c>
      <c r="BP183" s="5" t="s">
        <v>395</v>
      </c>
      <c r="BQ183" s="5" t="s">
        <v>395</v>
      </c>
      <c r="BR183" s="5" t="s">
        <v>395</v>
      </c>
      <c r="BS183" s="5" t="s">
        <v>395</v>
      </c>
      <c r="BT183" s="5" t="s">
        <v>395</v>
      </c>
      <c r="BU183" s="5" t="s">
        <v>395</v>
      </c>
      <c r="BV183" s="5" t="s">
        <v>395</v>
      </c>
      <c r="BW183" s="5" t="s">
        <v>395</v>
      </c>
      <c r="BX183" s="5" t="s">
        <v>395</v>
      </c>
      <c r="BY183" s="5" t="s">
        <v>395</v>
      </c>
      <c r="BZ183" s="5" t="s">
        <v>395</v>
      </c>
      <c r="CA183" s="5" t="s">
        <v>395</v>
      </c>
      <c r="CB183" s="5" t="s">
        <v>395</v>
      </c>
      <c r="CC183" s="5" t="s">
        <v>395</v>
      </c>
      <c r="CD183" s="5" t="s">
        <v>395</v>
      </c>
      <c r="CE183" s="5" t="s">
        <v>395</v>
      </c>
      <c r="CF183" s="5" t="s">
        <v>395</v>
      </c>
      <c r="CG183" s="5" t="s">
        <v>395</v>
      </c>
      <c r="CH183" s="5" t="s">
        <v>395</v>
      </c>
      <c r="CI183" s="5" t="s">
        <v>395</v>
      </c>
      <c r="CJ183" s="5" t="s">
        <v>395</v>
      </c>
      <c r="CK183" s="5" t="s">
        <v>395</v>
      </c>
      <c r="CL183" s="5" t="s">
        <v>395</v>
      </c>
      <c r="CM183" s="5" t="s">
        <v>395</v>
      </c>
      <c r="CN183" s="5" t="s">
        <v>395</v>
      </c>
      <c r="CO183" s="5" t="s">
        <v>395</v>
      </c>
      <c r="CP183" s="5" t="s">
        <v>395</v>
      </c>
      <c r="CQ183" s="5" t="s">
        <v>395</v>
      </c>
      <c r="CR183" s="5" t="s">
        <v>395</v>
      </c>
      <c r="CS183" s="5" t="s">
        <v>395</v>
      </c>
      <c r="CT183" s="5" t="s">
        <v>395</v>
      </c>
      <c r="CU183" s="5" t="s">
        <v>395</v>
      </c>
      <c r="CV183" s="5" t="s">
        <v>395</v>
      </c>
      <c r="CW183" s="5" t="s">
        <v>395</v>
      </c>
      <c r="CX183" s="5" t="s">
        <v>395</v>
      </c>
      <c r="CY183" s="252" t="s">
        <v>395</v>
      </c>
    </row>
    <row r="184" spans="1:103" x14ac:dyDescent="0.3">
      <c r="A184" s="31" t="s">
        <v>26</v>
      </c>
      <c r="B184" s="52" t="s">
        <v>26</v>
      </c>
      <c r="C184" s="19" t="s">
        <v>20</v>
      </c>
      <c r="D184" s="19" t="s">
        <v>125</v>
      </c>
      <c r="G184" s="22">
        <v>41155</v>
      </c>
      <c r="H184" s="16">
        <v>2012</v>
      </c>
      <c r="I184" s="121" t="s">
        <v>33</v>
      </c>
      <c r="J184" s="121">
        <v>5</v>
      </c>
      <c r="K184" s="251">
        <v>1.1000000000000001</v>
      </c>
      <c r="L184" s="5" t="s">
        <v>395</v>
      </c>
      <c r="M184" s="254">
        <f>0.5*0.029</f>
        <v>1.4500000000000001E-2</v>
      </c>
      <c r="N184" s="254">
        <f>0.5*0.032</f>
        <v>1.6E-2</v>
      </c>
      <c r="O184" s="254">
        <f>0.5*0.06</f>
        <v>0.03</v>
      </c>
      <c r="P184" s="254">
        <f>0.5*0.055</f>
        <v>2.75E-2</v>
      </c>
      <c r="Q184" s="254">
        <f>0.5*0.16</f>
        <v>0.08</v>
      </c>
      <c r="R184" s="254">
        <f>0.5*0.1</f>
        <v>0.05</v>
      </c>
      <c r="S184" s="32">
        <f>0.5*0.079</f>
        <v>3.95E-2</v>
      </c>
      <c r="T184" s="24">
        <f t="shared" si="146"/>
        <v>0.25749999999999995</v>
      </c>
      <c r="U184" s="5">
        <f t="shared" si="102"/>
        <v>1.0454545454545454</v>
      </c>
      <c r="V184" s="32">
        <f>0.5*0.0003</f>
        <v>1.4999999999999999E-4</v>
      </c>
      <c r="W184" s="32">
        <f>0.5*0.0026</f>
        <v>1.2999999999999999E-3</v>
      </c>
      <c r="X184" s="32">
        <f>0.5*0.00069</f>
        <v>3.4499999999999998E-4</v>
      </c>
      <c r="Y184" s="32">
        <f>0.5*0.0024</f>
        <v>1.1999999999999999E-3</v>
      </c>
      <c r="Z184" s="24" t="s">
        <v>395</v>
      </c>
      <c r="AA184" s="32">
        <f>0.5*0.0006</f>
        <v>2.9999999999999997E-4</v>
      </c>
      <c r="AB184" s="32">
        <f>0.5*0.0021</f>
        <v>1.0499999999999999E-3</v>
      </c>
      <c r="AC184" s="32">
        <f>0.5*0.033</f>
        <v>1.6500000000000001E-2</v>
      </c>
      <c r="AD184" s="5" t="s">
        <v>395</v>
      </c>
      <c r="AE184" s="5">
        <f t="shared" ref="AE184:AE214" si="149">SUM(V184,W184,Y184,X184,AB184,AA184)</f>
        <v>4.344999999999999E-3</v>
      </c>
      <c r="AF184" s="5" t="s">
        <v>395</v>
      </c>
      <c r="AG184" s="250" t="s">
        <v>395</v>
      </c>
      <c r="AH184" s="25">
        <f t="shared" si="145"/>
        <v>5.3191489361702127</v>
      </c>
      <c r="AI184" s="25" t="s">
        <v>395</v>
      </c>
      <c r="AJ184" s="25" t="s">
        <v>395</v>
      </c>
      <c r="AK184" s="25" t="s">
        <v>395</v>
      </c>
      <c r="AL184" s="25" t="s">
        <v>395</v>
      </c>
      <c r="AM184" s="25" t="s">
        <v>395</v>
      </c>
      <c r="AN184" s="25">
        <f t="shared" ref="AN184:AN189" si="150">BI184/18.8</f>
        <v>0.24468085106382975</v>
      </c>
      <c r="AO184" s="25" t="s">
        <v>395</v>
      </c>
      <c r="AP184" s="25" t="s">
        <v>395</v>
      </c>
      <c r="AQ184" s="25">
        <f t="shared" ref="AQ184:AQ189" si="151">BL184/18.8</f>
        <v>0.14893617021276595</v>
      </c>
      <c r="AR184" s="25" t="s">
        <v>395</v>
      </c>
      <c r="AS184" s="5" t="s">
        <v>395</v>
      </c>
      <c r="AT184" s="5" t="s">
        <v>395</v>
      </c>
      <c r="AU184" s="5" t="s">
        <v>395</v>
      </c>
      <c r="AV184" s="5" t="s">
        <v>395</v>
      </c>
      <c r="AW184" s="5" t="s">
        <v>395</v>
      </c>
      <c r="AX184" s="5" t="s">
        <v>395</v>
      </c>
      <c r="AY184" s="5" t="s">
        <v>395</v>
      </c>
      <c r="AZ184" s="5" t="s">
        <v>395</v>
      </c>
      <c r="BA184" s="5" t="s">
        <v>395</v>
      </c>
      <c r="BB184" s="5" t="s">
        <v>395</v>
      </c>
      <c r="BC184" s="254">
        <v>100</v>
      </c>
      <c r="BD184" s="254">
        <f>0.5*2</f>
        <v>1</v>
      </c>
      <c r="BE184" s="254">
        <f>0.5*5</f>
        <v>2.5</v>
      </c>
      <c r="BF184" s="254">
        <f t="shared" si="147"/>
        <v>0.5</v>
      </c>
      <c r="BG184" s="254">
        <f t="shared" ref="BG184:BG189" si="152">0.5*5</f>
        <v>2.5</v>
      </c>
      <c r="BH184" s="254">
        <f>0.5*1</f>
        <v>0.5</v>
      </c>
      <c r="BI184" s="254">
        <v>4.5999999999999996</v>
      </c>
      <c r="BJ184" s="254">
        <f>0.5*1</f>
        <v>0.5</v>
      </c>
      <c r="BK184" s="254">
        <f t="shared" si="148"/>
        <v>5</v>
      </c>
      <c r="BL184" s="254">
        <v>2.8</v>
      </c>
      <c r="BM184" s="254">
        <f>0.5*2</f>
        <v>1</v>
      </c>
      <c r="BN184" s="5" t="s">
        <v>395</v>
      </c>
      <c r="BO184" s="5" t="s">
        <v>395</v>
      </c>
      <c r="BP184" s="5" t="s">
        <v>395</v>
      </c>
      <c r="BQ184" s="5" t="s">
        <v>395</v>
      </c>
      <c r="BR184" s="5" t="s">
        <v>395</v>
      </c>
      <c r="BS184" s="5" t="s">
        <v>395</v>
      </c>
      <c r="BT184" s="5" t="s">
        <v>395</v>
      </c>
      <c r="BU184" s="5" t="s">
        <v>395</v>
      </c>
      <c r="BV184" s="5" t="s">
        <v>395</v>
      </c>
      <c r="BW184" s="5" t="s">
        <v>395</v>
      </c>
      <c r="BX184" s="5" t="s">
        <v>395</v>
      </c>
      <c r="BY184" s="5" t="s">
        <v>395</v>
      </c>
      <c r="BZ184" s="5" t="s">
        <v>395</v>
      </c>
      <c r="CA184" s="5" t="s">
        <v>395</v>
      </c>
      <c r="CB184" s="5" t="s">
        <v>395</v>
      </c>
      <c r="CC184" s="5" t="s">
        <v>395</v>
      </c>
      <c r="CD184" s="5" t="s">
        <v>395</v>
      </c>
      <c r="CE184" s="5" t="s">
        <v>395</v>
      </c>
      <c r="CF184" s="5" t="s">
        <v>395</v>
      </c>
      <c r="CG184" s="5" t="s">
        <v>395</v>
      </c>
      <c r="CH184" s="5" t="s">
        <v>395</v>
      </c>
      <c r="CI184" s="5" t="s">
        <v>395</v>
      </c>
      <c r="CJ184" s="5" t="s">
        <v>395</v>
      </c>
      <c r="CK184" s="5" t="s">
        <v>395</v>
      </c>
      <c r="CL184" s="5" t="s">
        <v>395</v>
      </c>
      <c r="CM184" s="5" t="s">
        <v>395</v>
      </c>
      <c r="CN184" s="5" t="s">
        <v>395</v>
      </c>
      <c r="CO184" s="5" t="s">
        <v>395</v>
      </c>
      <c r="CP184" s="5" t="s">
        <v>395</v>
      </c>
      <c r="CQ184" s="5" t="s">
        <v>395</v>
      </c>
      <c r="CR184" s="5" t="s">
        <v>395</v>
      </c>
      <c r="CS184" s="5" t="s">
        <v>395</v>
      </c>
      <c r="CT184" s="5" t="s">
        <v>395</v>
      </c>
      <c r="CU184" s="5" t="s">
        <v>395</v>
      </c>
      <c r="CV184" s="5" t="s">
        <v>395</v>
      </c>
      <c r="CW184" s="5" t="s">
        <v>395</v>
      </c>
      <c r="CX184" s="5" t="s">
        <v>395</v>
      </c>
      <c r="CY184" s="252" t="s">
        <v>395</v>
      </c>
    </row>
    <row r="185" spans="1:103" x14ac:dyDescent="0.3">
      <c r="A185" s="31" t="s">
        <v>7</v>
      </c>
      <c r="B185" s="52" t="s">
        <v>7</v>
      </c>
      <c r="C185" s="19" t="s">
        <v>20</v>
      </c>
      <c r="D185" s="19" t="s">
        <v>125</v>
      </c>
      <c r="G185" s="22">
        <v>41128</v>
      </c>
      <c r="H185" s="16">
        <v>2012</v>
      </c>
      <c r="I185" s="121" t="s">
        <v>33</v>
      </c>
      <c r="J185" s="121">
        <v>6</v>
      </c>
      <c r="K185" s="251">
        <v>1.4</v>
      </c>
      <c r="L185" s="5" t="s">
        <v>395</v>
      </c>
      <c r="M185" s="254">
        <f>0.5*0.035</f>
        <v>1.7500000000000002E-2</v>
      </c>
      <c r="N185" s="254">
        <f>0.5*0.056</f>
        <v>2.8000000000000001E-2</v>
      </c>
      <c r="O185" s="254">
        <f>0.5*0.12</f>
        <v>0.06</v>
      </c>
      <c r="P185" s="254">
        <f>0.5*0.1</f>
        <v>0.05</v>
      </c>
      <c r="Q185" s="254">
        <f>0.5*0.29</f>
        <v>0.14499999999999999</v>
      </c>
      <c r="R185" s="254">
        <f>0.5*0.2</f>
        <v>0.1</v>
      </c>
      <c r="S185" s="32">
        <f>0.5*0.12</f>
        <v>0.06</v>
      </c>
      <c r="T185" s="24">
        <f t="shared" si="146"/>
        <v>0.46049999999999996</v>
      </c>
      <c r="U185" s="5">
        <f t="shared" si="102"/>
        <v>1.4660714285714287</v>
      </c>
      <c r="V185" s="32">
        <f>0.5*0.00043</f>
        <v>2.1499999999999999E-4</v>
      </c>
      <c r="W185" s="32">
        <f>0.5*0.0046</f>
        <v>2.3E-3</v>
      </c>
      <c r="X185" s="32">
        <f>0.5*0.0023</f>
        <v>1.15E-3</v>
      </c>
      <c r="Y185" s="32">
        <f>0.5*0.0029</f>
        <v>1.4499999999999999E-3</v>
      </c>
      <c r="Z185" s="24" t="s">
        <v>395</v>
      </c>
      <c r="AA185" s="32">
        <f>0.5*0.0015</f>
        <v>7.5000000000000002E-4</v>
      </c>
      <c r="AB185" s="32">
        <f>0.5*0.0034</f>
        <v>1.6999999999999999E-3</v>
      </c>
      <c r="AC185" s="32">
        <f>0.5*0.042</f>
        <v>2.1000000000000001E-2</v>
      </c>
      <c r="AD185" s="5" t="s">
        <v>395</v>
      </c>
      <c r="AE185" s="5">
        <f t="shared" si="149"/>
        <v>7.5649999999999997E-3</v>
      </c>
      <c r="AF185" s="5" t="s">
        <v>395</v>
      </c>
      <c r="AG185" s="250" t="s">
        <v>395</v>
      </c>
      <c r="AH185" s="25">
        <f t="shared" si="145"/>
        <v>8.5106382978723403</v>
      </c>
      <c r="AI185" s="25" t="s">
        <v>395</v>
      </c>
      <c r="AJ185" s="25" t="s">
        <v>395</v>
      </c>
      <c r="AK185" s="25" t="s">
        <v>395</v>
      </c>
      <c r="AL185" s="25" t="s">
        <v>395</v>
      </c>
      <c r="AM185" s="25" t="s">
        <v>395</v>
      </c>
      <c r="AN185" s="25">
        <f t="shared" si="150"/>
        <v>1.0638297872340425</v>
      </c>
      <c r="AO185" s="25">
        <f>BJ185/18.8</f>
        <v>0.53191489361702127</v>
      </c>
      <c r="AP185" s="25" t="s">
        <v>395</v>
      </c>
      <c r="AQ185" s="25">
        <f t="shared" si="151"/>
        <v>0.63829787234042545</v>
      </c>
      <c r="AR185" s="25">
        <f>BM185/18.8</f>
        <v>0.85106382978723405</v>
      </c>
      <c r="AS185" s="5" t="s">
        <v>395</v>
      </c>
      <c r="AT185" s="5" t="s">
        <v>395</v>
      </c>
      <c r="AU185" s="5" t="s">
        <v>395</v>
      </c>
      <c r="AV185" s="5" t="s">
        <v>395</v>
      </c>
      <c r="AW185" s="5" t="s">
        <v>395</v>
      </c>
      <c r="AX185" s="5" t="s">
        <v>395</v>
      </c>
      <c r="AY185" s="5" t="s">
        <v>395</v>
      </c>
      <c r="AZ185" s="5" t="s">
        <v>395</v>
      </c>
      <c r="BA185" s="5" t="s">
        <v>395</v>
      </c>
      <c r="BB185" s="5" t="s">
        <v>395</v>
      </c>
      <c r="BC185" s="254">
        <v>160</v>
      </c>
      <c r="BD185" s="254">
        <f>0.5*1</f>
        <v>0.5</v>
      </c>
      <c r="BE185" s="254">
        <f>0.5*2</f>
        <v>1</v>
      </c>
      <c r="BF185" s="254">
        <f t="shared" si="147"/>
        <v>0.5</v>
      </c>
      <c r="BG185" s="254">
        <f t="shared" si="152"/>
        <v>2.5</v>
      </c>
      <c r="BH185" s="254">
        <f>0.5*1</f>
        <v>0.5</v>
      </c>
      <c r="BI185" s="254">
        <v>20</v>
      </c>
      <c r="BJ185" s="254">
        <v>10</v>
      </c>
      <c r="BK185" s="254">
        <f t="shared" si="148"/>
        <v>5</v>
      </c>
      <c r="BL185" s="254">
        <v>12</v>
      </c>
      <c r="BM185" s="254">
        <v>16</v>
      </c>
      <c r="BN185" s="5" t="s">
        <v>395</v>
      </c>
      <c r="BO185" s="5" t="s">
        <v>395</v>
      </c>
      <c r="BP185" s="5" t="s">
        <v>395</v>
      </c>
      <c r="BQ185" s="5" t="s">
        <v>395</v>
      </c>
      <c r="BR185" s="5" t="s">
        <v>395</v>
      </c>
      <c r="BS185" s="5" t="s">
        <v>395</v>
      </c>
      <c r="BT185" s="5" t="s">
        <v>395</v>
      </c>
      <c r="BU185" s="5" t="s">
        <v>395</v>
      </c>
      <c r="BV185" s="5" t="s">
        <v>395</v>
      </c>
      <c r="BW185" s="5" t="s">
        <v>395</v>
      </c>
      <c r="BX185" s="5" t="s">
        <v>395</v>
      </c>
      <c r="BY185" s="5" t="s">
        <v>395</v>
      </c>
      <c r="BZ185" s="5" t="s">
        <v>395</v>
      </c>
      <c r="CA185" s="5" t="s">
        <v>395</v>
      </c>
      <c r="CB185" s="5" t="s">
        <v>395</v>
      </c>
      <c r="CC185" s="5" t="s">
        <v>395</v>
      </c>
      <c r="CD185" s="5" t="s">
        <v>395</v>
      </c>
      <c r="CE185" s="5" t="s">
        <v>395</v>
      </c>
      <c r="CF185" s="5" t="s">
        <v>395</v>
      </c>
      <c r="CG185" s="5" t="s">
        <v>395</v>
      </c>
      <c r="CH185" s="5" t="s">
        <v>395</v>
      </c>
      <c r="CI185" s="5" t="s">
        <v>395</v>
      </c>
      <c r="CJ185" s="5" t="s">
        <v>395</v>
      </c>
      <c r="CK185" s="5" t="s">
        <v>395</v>
      </c>
      <c r="CL185" s="5" t="s">
        <v>395</v>
      </c>
      <c r="CM185" s="5" t="s">
        <v>395</v>
      </c>
      <c r="CN185" s="5" t="s">
        <v>395</v>
      </c>
      <c r="CO185" s="5" t="s">
        <v>395</v>
      </c>
      <c r="CP185" s="5" t="s">
        <v>395</v>
      </c>
      <c r="CQ185" s="5" t="s">
        <v>395</v>
      </c>
      <c r="CR185" s="5" t="s">
        <v>395</v>
      </c>
      <c r="CS185" s="5" t="s">
        <v>395</v>
      </c>
      <c r="CT185" s="5" t="s">
        <v>395</v>
      </c>
      <c r="CU185" s="5" t="s">
        <v>395</v>
      </c>
      <c r="CV185" s="5" t="s">
        <v>395</v>
      </c>
      <c r="CW185" s="5" t="s">
        <v>395</v>
      </c>
      <c r="CX185" s="5" t="s">
        <v>395</v>
      </c>
      <c r="CY185" s="252" t="s">
        <v>395</v>
      </c>
    </row>
    <row r="186" spans="1:103" x14ac:dyDescent="0.3">
      <c r="A186" s="31" t="s">
        <v>22</v>
      </c>
      <c r="B186" s="52" t="s">
        <v>22</v>
      </c>
      <c r="C186" s="19" t="s">
        <v>20</v>
      </c>
      <c r="D186" s="19" t="s">
        <v>125</v>
      </c>
      <c r="G186" s="22">
        <v>41127</v>
      </c>
      <c r="H186" s="16">
        <v>2012</v>
      </c>
      <c r="I186" s="121" t="s">
        <v>33</v>
      </c>
      <c r="J186" s="121">
        <v>6</v>
      </c>
      <c r="K186" s="251">
        <v>1.2</v>
      </c>
      <c r="L186" s="5" t="s">
        <v>395</v>
      </c>
      <c r="M186" s="254">
        <f>0.5*0.46</f>
        <v>0.23</v>
      </c>
      <c r="N186" s="254">
        <v>0.74</v>
      </c>
      <c r="O186" s="254">
        <v>1.2</v>
      </c>
      <c r="P186" s="254">
        <v>0.83</v>
      </c>
      <c r="Q186" s="254">
        <v>1.7</v>
      </c>
      <c r="R186" s="254">
        <v>1.1000000000000001</v>
      </c>
      <c r="S186" s="32">
        <v>0.62</v>
      </c>
      <c r="T186" s="24">
        <f t="shared" si="146"/>
        <v>6.4200000000000008</v>
      </c>
      <c r="U186" s="5">
        <f t="shared" si="102"/>
        <v>23.291666666666671</v>
      </c>
      <c r="V186" s="32">
        <f>0.5*0.00073</f>
        <v>3.6499999999999998E-4</v>
      </c>
      <c r="W186" s="32">
        <v>3.1E-2</v>
      </c>
      <c r="X186" s="32">
        <v>9.4000000000000004E-3</v>
      </c>
      <c r="Y186" s="32">
        <v>0.03</v>
      </c>
      <c r="Z186" s="24" t="s">
        <v>395</v>
      </c>
      <c r="AA186" s="32">
        <v>4.1000000000000003E-3</v>
      </c>
      <c r="AB186" s="32">
        <f>0.5*0.004</f>
        <v>2E-3</v>
      </c>
      <c r="AC186" s="32">
        <f>0.5*0.026</f>
        <v>1.2999999999999999E-2</v>
      </c>
      <c r="AD186" s="5" t="s">
        <v>395</v>
      </c>
      <c r="AE186" s="5">
        <f t="shared" si="149"/>
        <v>7.6865000000000003E-2</v>
      </c>
      <c r="AF186" s="5" t="s">
        <v>395</v>
      </c>
      <c r="AG186" s="250" t="s">
        <v>395</v>
      </c>
      <c r="AH186" s="25">
        <f t="shared" si="145"/>
        <v>19.148936170212764</v>
      </c>
      <c r="AI186" s="25" t="s">
        <v>395</v>
      </c>
      <c r="AJ186" s="25" t="s">
        <v>395</v>
      </c>
      <c r="AK186" s="25" t="s">
        <v>395</v>
      </c>
      <c r="AL186" s="25" t="s">
        <v>395</v>
      </c>
      <c r="AM186" s="25" t="s">
        <v>395</v>
      </c>
      <c r="AN186" s="25">
        <f t="shared" si="150"/>
        <v>0.30319148936170215</v>
      </c>
      <c r="AO186" s="25">
        <f>BJ186/18.8</f>
        <v>0.12234042553191488</v>
      </c>
      <c r="AP186" s="25" t="s">
        <v>395</v>
      </c>
      <c r="AQ186" s="25">
        <f t="shared" si="151"/>
        <v>0.30851063829787234</v>
      </c>
      <c r="AR186" s="25">
        <f>BM186/18.8</f>
        <v>0.63829787234042545</v>
      </c>
      <c r="AS186" s="5" t="s">
        <v>395</v>
      </c>
      <c r="AT186" s="5" t="s">
        <v>395</v>
      </c>
      <c r="AU186" s="5" t="s">
        <v>395</v>
      </c>
      <c r="AV186" s="5" t="s">
        <v>395</v>
      </c>
      <c r="AW186" s="5" t="s">
        <v>395</v>
      </c>
      <c r="AX186" s="5" t="s">
        <v>395</v>
      </c>
      <c r="AY186" s="5" t="s">
        <v>395</v>
      </c>
      <c r="AZ186" s="5" t="s">
        <v>395</v>
      </c>
      <c r="BA186" s="5" t="s">
        <v>395</v>
      </c>
      <c r="BB186" s="5" t="s">
        <v>395</v>
      </c>
      <c r="BC186" s="254">
        <v>360</v>
      </c>
      <c r="BD186" s="254">
        <f>0.5*4</f>
        <v>2</v>
      </c>
      <c r="BE186" s="254">
        <f>0.5*2</f>
        <v>1</v>
      </c>
      <c r="BF186" s="254">
        <f t="shared" si="147"/>
        <v>0.5</v>
      </c>
      <c r="BG186" s="254">
        <f t="shared" si="152"/>
        <v>2.5</v>
      </c>
      <c r="BH186" s="254">
        <f>0.5*1</f>
        <v>0.5</v>
      </c>
      <c r="BI186" s="254">
        <v>5.7</v>
      </c>
      <c r="BJ186" s="254">
        <v>2.2999999999999998</v>
      </c>
      <c r="BK186" s="254">
        <f t="shared" si="148"/>
        <v>5</v>
      </c>
      <c r="BL186" s="254">
        <v>5.8</v>
      </c>
      <c r="BM186" s="254">
        <v>12</v>
      </c>
      <c r="BN186" s="5" t="s">
        <v>395</v>
      </c>
      <c r="BO186" s="5" t="s">
        <v>395</v>
      </c>
      <c r="BP186" s="5" t="s">
        <v>395</v>
      </c>
      <c r="BQ186" s="5" t="s">
        <v>395</v>
      </c>
      <c r="BR186" s="5" t="s">
        <v>395</v>
      </c>
      <c r="BS186" s="5" t="s">
        <v>395</v>
      </c>
      <c r="BT186" s="5" t="s">
        <v>395</v>
      </c>
      <c r="BU186" s="5" t="s">
        <v>395</v>
      </c>
      <c r="BV186" s="5" t="s">
        <v>395</v>
      </c>
      <c r="BW186" s="5" t="s">
        <v>395</v>
      </c>
      <c r="BX186" s="5" t="s">
        <v>395</v>
      </c>
      <c r="BY186" s="5" t="s">
        <v>395</v>
      </c>
      <c r="BZ186" s="5" t="s">
        <v>395</v>
      </c>
      <c r="CA186" s="5" t="s">
        <v>395</v>
      </c>
      <c r="CB186" s="5" t="s">
        <v>395</v>
      </c>
      <c r="CC186" s="5" t="s">
        <v>395</v>
      </c>
      <c r="CD186" s="5" t="s">
        <v>395</v>
      </c>
      <c r="CE186" s="5" t="s">
        <v>395</v>
      </c>
      <c r="CF186" s="5" t="s">
        <v>395</v>
      </c>
      <c r="CG186" s="5" t="s">
        <v>395</v>
      </c>
      <c r="CH186" s="5" t="s">
        <v>395</v>
      </c>
      <c r="CI186" s="5" t="s">
        <v>395</v>
      </c>
      <c r="CJ186" s="5" t="s">
        <v>395</v>
      </c>
      <c r="CK186" s="5" t="s">
        <v>395</v>
      </c>
      <c r="CL186" s="5" t="s">
        <v>395</v>
      </c>
      <c r="CM186" s="5" t="s">
        <v>395</v>
      </c>
      <c r="CN186" s="5" t="s">
        <v>395</v>
      </c>
      <c r="CO186" s="5" t="s">
        <v>395</v>
      </c>
      <c r="CP186" s="5" t="s">
        <v>395</v>
      </c>
      <c r="CQ186" s="5" t="s">
        <v>395</v>
      </c>
      <c r="CR186" s="5" t="s">
        <v>395</v>
      </c>
      <c r="CS186" s="5" t="s">
        <v>395</v>
      </c>
      <c r="CT186" s="5" t="s">
        <v>395</v>
      </c>
      <c r="CU186" s="5" t="s">
        <v>395</v>
      </c>
      <c r="CV186" s="5" t="s">
        <v>395</v>
      </c>
      <c r="CW186" s="5" t="s">
        <v>395</v>
      </c>
      <c r="CX186" s="5" t="s">
        <v>395</v>
      </c>
      <c r="CY186" s="252" t="s">
        <v>395</v>
      </c>
    </row>
    <row r="187" spans="1:103" x14ac:dyDescent="0.3">
      <c r="A187" s="31" t="s">
        <v>22</v>
      </c>
      <c r="B187" s="52" t="s">
        <v>22</v>
      </c>
      <c r="C187" s="19" t="s">
        <v>20</v>
      </c>
      <c r="D187" s="19" t="s">
        <v>125</v>
      </c>
      <c r="G187" s="22">
        <v>40839</v>
      </c>
      <c r="H187" s="16">
        <v>2011</v>
      </c>
      <c r="I187" s="121" t="s">
        <v>33</v>
      </c>
      <c r="J187" s="121">
        <v>10</v>
      </c>
      <c r="K187" s="251">
        <v>1.2</v>
      </c>
      <c r="L187" s="5" t="s">
        <v>395</v>
      </c>
      <c r="M187" s="254">
        <f>0.5*0.39</f>
        <v>0.19500000000000001</v>
      </c>
      <c r="N187" s="254">
        <v>0.81</v>
      </c>
      <c r="O187" s="254">
        <v>1.7</v>
      </c>
      <c r="P187" s="254">
        <v>1.3</v>
      </c>
      <c r="Q187" s="254">
        <v>2.7</v>
      </c>
      <c r="R187" s="254">
        <v>1.7</v>
      </c>
      <c r="S187" s="32">
        <v>0.96</v>
      </c>
      <c r="T187" s="24">
        <f t="shared" si="146"/>
        <v>9.3649999999999984</v>
      </c>
      <c r="U187" s="5">
        <f t="shared" si="102"/>
        <v>33.604166666666671</v>
      </c>
      <c r="V187" s="32">
        <v>1.5E-3</v>
      </c>
      <c r="W187" s="32">
        <v>6.6000000000000003E-2</v>
      </c>
      <c r="X187" s="32">
        <v>1.7000000000000001E-2</v>
      </c>
      <c r="Y187" s="32">
        <v>2.3E-2</v>
      </c>
      <c r="Z187" s="24" t="s">
        <v>395</v>
      </c>
      <c r="AA187" s="32">
        <v>7.0000000000000001E-3</v>
      </c>
      <c r="AB187" s="32">
        <f>0.5*0.0027</f>
        <v>1.3500000000000001E-3</v>
      </c>
      <c r="AC187" s="32">
        <f>0.5*0.042</f>
        <v>2.1000000000000001E-2</v>
      </c>
      <c r="AD187" s="5" t="s">
        <v>395</v>
      </c>
      <c r="AE187" s="5">
        <f t="shared" si="149"/>
        <v>0.11585000000000001</v>
      </c>
      <c r="AF187" s="254">
        <f>0.5*0.5</f>
        <v>0.25</v>
      </c>
      <c r="AG187" s="250" t="s">
        <v>395</v>
      </c>
      <c r="AH187" s="25">
        <f t="shared" si="145"/>
        <v>12.76595744680851</v>
      </c>
      <c r="AI187" s="25" t="s">
        <v>395</v>
      </c>
      <c r="AJ187" s="25" t="s">
        <v>395</v>
      </c>
      <c r="AK187" s="25" t="s">
        <v>395</v>
      </c>
      <c r="AL187" s="25" t="s">
        <v>395</v>
      </c>
      <c r="AM187" s="25">
        <f>BH187/18.8</f>
        <v>0.14361702127659576</v>
      </c>
      <c r="AN187" s="25">
        <f t="shared" si="150"/>
        <v>0.52659574468085102</v>
      </c>
      <c r="AO187" s="25">
        <f>BJ187/18.8</f>
        <v>0.13297872340425532</v>
      </c>
      <c r="AP187" s="25" t="s">
        <v>395</v>
      </c>
      <c r="AQ187" s="25">
        <f t="shared" si="151"/>
        <v>0.53191489361702127</v>
      </c>
      <c r="AR187" s="25">
        <f>BM187/18.8</f>
        <v>0.45744680851063824</v>
      </c>
      <c r="AS187" s="5" t="s">
        <v>395</v>
      </c>
      <c r="AT187" s="5" t="s">
        <v>395</v>
      </c>
      <c r="AU187" s="5" t="s">
        <v>395</v>
      </c>
      <c r="AV187" s="5" t="s">
        <v>395</v>
      </c>
      <c r="AW187" s="5" t="s">
        <v>395</v>
      </c>
      <c r="AX187" s="5" t="s">
        <v>395</v>
      </c>
      <c r="AY187" s="5" t="s">
        <v>395</v>
      </c>
      <c r="AZ187" s="5" t="s">
        <v>395</v>
      </c>
      <c r="BA187" s="5" t="s">
        <v>395</v>
      </c>
      <c r="BB187" s="5" t="s">
        <v>395</v>
      </c>
      <c r="BC187" s="254">
        <v>240</v>
      </c>
      <c r="BD187" s="254">
        <f>0.5*1</f>
        <v>0.5</v>
      </c>
      <c r="BE187" s="254">
        <f>0.5*2</f>
        <v>1</v>
      </c>
      <c r="BF187" s="254">
        <f t="shared" si="147"/>
        <v>0.5</v>
      </c>
      <c r="BG187" s="254">
        <f t="shared" si="152"/>
        <v>2.5</v>
      </c>
      <c r="BH187" s="254">
        <v>2.7</v>
      </c>
      <c r="BI187" s="254">
        <v>9.9</v>
      </c>
      <c r="BJ187" s="254">
        <v>2.5</v>
      </c>
      <c r="BK187" s="254">
        <f t="shared" si="148"/>
        <v>5</v>
      </c>
      <c r="BL187" s="254">
        <v>10</v>
      </c>
      <c r="BM187" s="254">
        <v>8.6</v>
      </c>
      <c r="BN187" s="5" t="s">
        <v>395</v>
      </c>
      <c r="BO187" s="5" t="s">
        <v>395</v>
      </c>
      <c r="BP187" s="5" t="s">
        <v>395</v>
      </c>
      <c r="BQ187" s="5" t="s">
        <v>395</v>
      </c>
      <c r="BR187" s="5" t="s">
        <v>395</v>
      </c>
      <c r="BS187" s="5" t="s">
        <v>395</v>
      </c>
      <c r="BT187" s="5" t="s">
        <v>395</v>
      </c>
      <c r="BU187" s="5" t="s">
        <v>395</v>
      </c>
      <c r="BV187" s="5" t="s">
        <v>395</v>
      </c>
      <c r="BW187" s="5" t="s">
        <v>395</v>
      </c>
      <c r="BX187" s="5" t="s">
        <v>395</v>
      </c>
      <c r="BY187" s="5" t="s">
        <v>395</v>
      </c>
      <c r="BZ187" s="5" t="s">
        <v>395</v>
      </c>
      <c r="CA187" s="5" t="s">
        <v>395</v>
      </c>
      <c r="CB187" s="5" t="s">
        <v>395</v>
      </c>
      <c r="CC187" s="5" t="s">
        <v>395</v>
      </c>
      <c r="CD187" s="5" t="s">
        <v>395</v>
      </c>
      <c r="CE187" s="5" t="s">
        <v>395</v>
      </c>
      <c r="CF187" s="5" t="s">
        <v>395</v>
      </c>
      <c r="CG187" s="5" t="s">
        <v>395</v>
      </c>
      <c r="CH187" s="5" t="s">
        <v>395</v>
      </c>
      <c r="CI187" s="5" t="s">
        <v>395</v>
      </c>
      <c r="CJ187" s="5" t="s">
        <v>395</v>
      </c>
      <c r="CK187" s="5" t="s">
        <v>395</v>
      </c>
      <c r="CL187" s="5" t="s">
        <v>395</v>
      </c>
      <c r="CM187" s="5" t="s">
        <v>395</v>
      </c>
      <c r="CN187" s="5" t="s">
        <v>395</v>
      </c>
      <c r="CO187" s="5" t="s">
        <v>395</v>
      </c>
      <c r="CP187" s="5" t="s">
        <v>395</v>
      </c>
      <c r="CQ187" s="5" t="s">
        <v>395</v>
      </c>
      <c r="CR187" s="5" t="s">
        <v>395</v>
      </c>
      <c r="CS187" s="5" t="s">
        <v>395</v>
      </c>
      <c r="CT187" s="5" t="s">
        <v>395</v>
      </c>
      <c r="CU187" s="5" t="s">
        <v>395</v>
      </c>
      <c r="CV187" s="5" t="s">
        <v>395</v>
      </c>
      <c r="CW187" s="5" t="s">
        <v>395</v>
      </c>
      <c r="CX187" s="5" t="s">
        <v>395</v>
      </c>
      <c r="CY187" s="252" t="s">
        <v>395</v>
      </c>
    </row>
    <row r="188" spans="1:103" x14ac:dyDescent="0.3">
      <c r="A188" s="31" t="s">
        <v>21</v>
      </c>
      <c r="B188" s="52" t="s">
        <v>21</v>
      </c>
      <c r="C188" s="19" t="s">
        <v>20</v>
      </c>
      <c r="D188" s="19" t="s">
        <v>125</v>
      </c>
      <c r="G188" s="22">
        <v>40782</v>
      </c>
      <c r="H188" s="16">
        <v>2011</v>
      </c>
      <c r="I188" s="121" t="s">
        <v>33</v>
      </c>
      <c r="J188" s="121">
        <v>10</v>
      </c>
      <c r="K188" s="251">
        <v>2.2999999999999998</v>
      </c>
      <c r="L188" s="5" t="s">
        <v>395</v>
      </c>
      <c r="M188" s="254">
        <f>0.5*0.035</f>
        <v>1.7500000000000002E-2</v>
      </c>
      <c r="N188" s="254">
        <f>0.5*0.059</f>
        <v>2.9499999999999998E-2</v>
      </c>
      <c r="O188" s="254">
        <f>0.5*0.17</f>
        <v>8.5000000000000006E-2</v>
      </c>
      <c r="P188" s="254">
        <f>0.5*0.11</f>
        <v>5.5E-2</v>
      </c>
      <c r="Q188" s="254">
        <f>0.5*0.32</f>
        <v>0.16</v>
      </c>
      <c r="R188" s="254">
        <f>0.5*0.22</f>
        <v>0.11</v>
      </c>
      <c r="S188" s="32">
        <f>0.5*0.13</f>
        <v>6.5000000000000002E-2</v>
      </c>
      <c r="T188" s="24">
        <f t="shared" si="146"/>
        <v>0.52200000000000002</v>
      </c>
      <c r="U188" s="5">
        <f t="shared" si="102"/>
        <v>1.0152173913043481</v>
      </c>
      <c r="V188" s="32">
        <f>0.5*0.00092</f>
        <v>4.6000000000000001E-4</v>
      </c>
      <c r="W188" s="32">
        <f>0.5*0.0086</f>
        <v>4.3E-3</v>
      </c>
      <c r="X188" s="32">
        <f>0.5*0.0021</f>
        <v>1.0499999999999999E-3</v>
      </c>
      <c r="Y188" s="32">
        <f>0.5*0.0027</f>
        <v>1.3500000000000001E-3</v>
      </c>
      <c r="Z188" s="24" t="s">
        <v>395</v>
      </c>
      <c r="AA188" s="32">
        <f>0.5*0.0013</f>
        <v>6.4999999999999997E-4</v>
      </c>
      <c r="AB188" s="32">
        <f>0.5*0.0037</f>
        <v>1.8500000000000001E-3</v>
      </c>
      <c r="AC188" s="32">
        <f>0.5*0.037</f>
        <v>1.8499999999999999E-2</v>
      </c>
      <c r="AD188" s="5" t="s">
        <v>395</v>
      </c>
      <c r="AE188" s="5">
        <f t="shared" si="149"/>
        <v>9.6600000000000002E-3</v>
      </c>
      <c r="AF188" s="254">
        <f>0.5*0.5</f>
        <v>0.25</v>
      </c>
      <c r="AG188" s="250" t="s">
        <v>395</v>
      </c>
      <c r="AH188" s="25">
        <f t="shared" si="145"/>
        <v>22.340425531914892</v>
      </c>
      <c r="AI188" s="25" t="s">
        <v>395</v>
      </c>
      <c r="AJ188" s="25" t="s">
        <v>395</v>
      </c>
      <c r="AK188" s="25" t="s">
        <v>395</v>
      </c>
      <c r="AL188" s="25" t="s">
        <v>395</v>
      </c>
      <c r="AM188" s="25" t="s">
        <v>395</v>
      </c>
      <c r="AN188" s="25">
        <f t="shared" si="150"/>
        <v>0.58510638297872342</v>
      </c>
      <c r="AO188" s="25">
        <f>BJ188/18.8</f>
        <v>0.5</v>
      </c>
      <c r="AP188" s="25" t="s">
        <v>395</v>
      </c>
      <c r="AQ188" s="25">
        <f t="shared" si="151"/>
        <v>0.38829787234042551</v>
      </c>
      <c r="AR188" s="25">
        <f>BM188/18.8</f>
        <v>0.21808510638297871</v>
      </c>
      <c r="AS188" s="5" t="s">
        <v>395</v>
      </c>
      <c r="AT188" s="5" t="s">
        <v>395</v>
      </c>
      <c r="AU188" s="5" t="s">
        <v>395</v>
      </c>
      <c r="AV188" s="5" t="s">
        <v>395</v>
      </c>
      <c r="AW188" s="5" t="s">
        <v>395</v>
      </c>
      <c r="AX188" s="5" t="s">
        <v>395</v>
      </c>
      <c r="AY188" s="5" t="s">
        <v>395</v>
      </c>
      <c r="AZ188" s="5" t="s">
        <v>395</v>
      </c>
      <c r="BA188" s="5" t="s">
        <v>395</v>
      </c>
      <c r="BB188" s="5" t="s">
        <v>395</v>
      </c>
      <c r="BC188" s="254">
        <v>420</v>
      </c>
      <c r="BD188" s="254">
        <f>0.5*2</f>
        <v>1</v>
      </c>
      <c r="BE188" s="254">
        <f>0.5*10</f>
        <v>5</v>
      </c>
      <c r="BF188" s="254">
        <f t="shared" si="147"/>
        <v>0.5</v>
      </c>
      <c r="BG188" s="254">
        <f t="shared" si="152"/>
        <v>2.5</v>
      </c>
      <c r="BH188" s="254">
        <f>0.5*10</f>
        <v>5</v>
      </c>
      <c r="BI188" s="254">
        <v>11</v>
      </c>
      <c r="BJ188" s="254">
        <v>9.4</v>
      </c>
      <c r="BK188" s="254">
        <f t="shared" si="148"/>
        <v>5</v>
      </c>
      <c r="BL188" s="254">
        <v>7.3</v>
      </c>
      <c r="BM188" s="254">
        <v>4.0999999999999996</v>
      </c>
      <c r="BN188" s="5" t="s">
        <v>395</v>
      </c>
      <c r="BO188" s="5" t="s">
        <v>395</v>
      </c>
      <c r="BP188" s="5" t="s">
        <v>395</v>
      </c>
      <c r="BQ188" s="5" t="s">
        <v>395</v>
      </c>
      <c r="BR188" s="5" t="s">
        <v>395</v>
      </c>
      <c r="BS188" s="5" t="s">
        <v>395</v>
      </c>
      <c r="BT188" s="5" t="s">
        <v>395</v>
      </c>
      <c r="BU188" s="5" t="s">
        <v>395</v>
      </c>
      <c r="BV188" s="5" t="s">
        <v>395</v>
      </c>
      <c r="BW188" s="5" t="s">
        <v>395</v>
      </c>
      <c r="BX188" s="5" t="s">
        <v>395</v>
      </c>
      <c r="BY188" s="5" t="s">
        <v>395</v>
      </c>
      <c r="BZ188" s="5" t="s">
        <v>395</v>
      </c>
      <c r="CA188" s="5" t="s">
        <v>395</v>
      </c>
      <c r="CB188" s="5" t="s">
        <v>395</v>
      </c>
      <c r="CC188" s="5" t="s">
        <v>395</v>
      </c>
      <c r="CD188" s="5" t="s">
        <v>395</v>
      </c>
      <c r="CE188" s="5" t="s">
        <v>395</v>
      </c>
      <c r="CF188" s="5" t="s">
        <v>395</v>
      </c>
      <c r="CG188" s="5" t="s">
        <v>395</v>
      </c>
      <c r="CH188" s="5" t="s">
        <v>395</v>
      </c>
      <c r="CI188" s="5" t="s">
        <v>395</v>
      </c>
      <c r="CJ188" s="5" t="s">
        <v>395</v>
      </c>
      <c r="CK188" s="5" t="s">
        <v>395</v>
      </c>
      <c r="CL188" s="5" t="s">
        <v>395</v>
      </c>
      <c r="CM188" s="5" t="s">
        <v>395</v>
      </c>
      <c r="CN188" s="5" t="s">
        <v>395</v>
      </c>
      <c r="CO188" s="5" t="s">
        <v>395</v>
      </c>
      <c r="CP188" s="5" t="s">
        <v>395</v>
      </c>
      <c r="CQ188" s="5" t="s">
        <v>395</v>
      </c>
      <c r="CR188" s="5" t="s">
        <v>395</v>
      </c>
      <c r="CS188" s="5" t="s">
        <v>395</v>
      </c>
      <c r="CT188" s="5" t="s">
        <v>395</v>
      </c>
      <c r="CU188" s="5" t="s">
        <v>395</v>
      </c>
      <c r="CV188" s="5" t="s">
        <v>395</v>
      </c>
      <c r="CW188" s="5" t="s">
        <v>395</v>
      </c>
      <c r="CX188" s="5" t="s">
        <v>395</v>
      </c>
      <c r="CY188" s="252" t="s">
        <v>395</v>
      </c>
    </row>
    <row r="189" spans="1:103" x14ac:dyDescent="0.3">
      <c r="A189" s="31" t="s">
        <v>112</v>
      </c>
      <c r="B189" s="52" t="s">
        <v>24</v>
      </c>
      <c r="C189" s="19" t="s">
        <v>20</v>
      </c>
      <c r="D189" s="19" t="s">
        <v>125</v>
      </c>
      <c r="G189" s="22">
        <v>40796</v>
      </c>
      <c r="H189" s="16">
        <v>2011</v>
      </c>
      <c r="I189" s="121" t="s">
        <v>33</v>
      </c>
      <c r="J189" s="121">
        <v>10</v>
      </c>
      <c r="K189" s="251">
        <v>1.1000000000000001</v>
      </c>
      <c r="L189" s="5" t="s">
        <v>395</v>
      </c>
      <c r="M189" s="254">
        <f>0.5*0.31</f>
        <v>0.155</v>
      </c>
      <c r="N189" s="254">
        <v>0.65</v>
      </c>
      <c r="O189" s="254">
        <v>1.5</v>
      </c>
      <c r="P189" s="254">
        <v>1.4</v>
      </c>
      <c r="Q189" s="254">
        <v>2.7</v>
      </c>
      <c r="R189" s="254">
        <v>1.9</v>
      </c>
      <c r="S189" s="32">
        <v>0.83</v>
      </c>
      <c r="T189" s="24">
        <f t="shared" si="146"/>
        <v>9.1349999999999998</v>
      </c>
      <c r="U189" s="5">
        <f t="shared" si="102"/>
        <v>35.159090909090914</v>
      </c>
      <c r="V189" s="32">
        <v>1.9E-3</v>
      </c>
      <c r="W189" s="32">
        <v>6.2E-2</v>
      </c>
      <c r="X189" s="32">
        <v>1.0999999999999999E-2</v>
      </c>
      <c r="Y189" s="32">
        <v>1.4999999999999999E-2</v>
      </c>
      <c r="Z189" s="24" t="s">
        <v>395</v>
      </c>
      <c r="AA189" s="32">
        <v>2.8E-3</v>
      </c>
      <c r="AB189" s="32">
        <f>0.5*0.0023</f>
        <v>1.15E-3</v>
      </c>
      <c r="AC189" s="32">
        <f>0.5*0.036</f>
        <v>1.7999999999999999E-2</v>
      </c>
      <c r="AD189" s="5" t="s">
        <v>395</v>
      </c>
      <c r="AE189" s="5">
        <f t="shared" si="149"/>
        <v>9.3849999999999989E-2</v>
      </c>
      <c r="AF189" s="254">
        <f>0.5*0.5</f>
        <v>0.25</v>
      </c>
      <c r="AG189" s="250" t="s">
        <v>395</v>
      </c>
      <c r="AH189" s="25">
        <f t="shared" si="145"/>
        <v>9.0425531914893611</v>
      </c>
      <c r="AI189" s="25" t="s">
        <v>395</v>
      </c>
      <c r="AJ189" s="25" t="s">
        <v>395</v>
      </c>
      <c r="AK189" s="25" t="s">
        <v>395</v>
      </c>
      <c r="AL189" s="25" t="s">
        <v>395</v>
      </c>
      <c r="AM189" s="25" t="s">
        <v>395</v>
      </c>
      <c r="AN189" s="25">
        <f t="shared" si="150"/>
        <v>0.30851063829787234</v>
      </c>
      <c r="AO189" s="25">
        <f>BJ189/18.8</f>
        <v>6.3829787234042548E-2</v>
      </c>
      <c r="AP189" s="25" t="s">
        <v>395</v>
      </c>
      <c r="AQ189" s="25">
        <f t="shared" si="151"/>
        <v>0.29255319148936171</v>
      </c>
      <c r="AR189" s="25">
        <f>BM189/18.8</f>
        <v>0.4893617021276595</v>
      </c>
      <c r="AS189" s="5" t="s">
        <v>395</v>
      </c>
      <c r="AT189" s="5" t="s">
        <v>395</v>
      </c>
      <c r="AU189" s="5" t="s">
        <v>395</v>
      </c>
      <c r="AV189" s="5" t="s">
        <v>395</v>
      </c>
      <c r="AW189" s="5" t="s">
        <v>395</v>
      </c>
      <c r="AX189" s="5" t="s">
        <v>395</v>
      </c>
      <c r="AY189" s="5" t="s">
        <v>395</v>
      </c>
      <c r="AZ189" s="5" t="s">
        <v>395</v>
      </c>
      <c r="BA189" s="5" t="s">
        <v>395</v>
      </c>
      <c r="BB189" s="5" t="s">
        <v>395</v>
      </c>
      <c r="BC189" s="254">
        <v>170</v>
      </c>
      <c r="BD189" s="254">
        <f>0.5*1</f>
        <v>0.5</v>
      </c>
      <c r="BE189" s="254">
        <f>0.5*2</f>
        <v>1</v>
      </c>
      <c r="BF189" s="254">
        <f t="shared" si="147"/>
        <v>0.5</v>
      </c>
      <c r="BG189" s="254">
        <f t="shared" si="152"/>
        <v>2.5</v>
      </c>
      <c r="BH189" s="254">
        <f>0.5*1</f>
        <v>0.5</v>
      </c>
      <c r="BI189" s="254">
        <v>5.8</v>
      </c>
      <c r="BJ189" s="254">
        <v>1.2</v>
      </c>
      <c r="BK189" s="254">
        <f t="shared" si="148"/>
        <v>5</v>
      </c>
      <c r="BL189" s="254">
        <v>5.5</v>
      </c>
      <c r="BM189" s="254">
        <v>9.1999999999999993</v>
      </c>
      <c r="BN189" s="5" t="s">
        <v>395</v>
      </c>
      <c r="BO189" s="5" t="s">
        <v>395</v>
      </c>
      <c r="BP189" s="5" t="s">
        <v>395</v>
      </c>
      <c r="BQ189" s="5" t="s">
        <v>395</v>
      </c>
      <c r="BR189" s="5" t="s">
        <v>395</v>
      </c>
      <c r="BS189" s="5" t="s">
        <v>395</v>
      </c>
      <c r="BT189" s="5" t="s">
        <v>395</v>
      </c>
      <c r="BU189" s="5" t="s">
        <v>395</v>
      </c>
      <c r="BV189" s="5" t="s">
        <v>395</v>
      </c>
      <c r="BW189" s="5" t="s">
        <v>395</v>
      </c>
      <c r="BX189" s="5" t="s">
        <v>395</v>
      </c>
      <c r="BY189" s="5" t="s">
        <v>395</v>
      </c>
      <c r="BZ189" s="5" t="s">
        <v>395</v>
      </c>
      <c r="CA189" s="5" t="s">
        <v>395</v>
      </c>
      <c r="CB189" s="5" t="s">
        <v>395</v>
      </c>
      <c r="CC189" s="5" t="s">
        <v>395</v>
      </c>
      <c r="CD189" s="5" t="s">
        <v>395</v>
      </c>
      <c r="CE189" s="5" t="s">
        <v>395</v>
      </c>
      <c r="CF189" s="5" t="s">
        <v>395</v>
      </c>
      <c r="CG189" s="5" t="s">
        <v>395</v>
      </c>
      <c r="CH189" s="5" t="s">
        <v>395</v>
      </c>
      <c r="CI189" s="5" t="s">
        <v>395</v>
      </c>
      <c r="CJ189" s="5" t="s">
        <v>395</v>
      </c>
      <c r="CK189" s="5" t="s">
        <v>395</v>
      </c>
      <c r="CL189" s="5" t="s">
        <v>395</v>
      </c>
      <c r="CM189" s="5" t="s">
        <v>395</v>
      </c>
      <c r="CN189" s="5" t="s">
        <v>395</v>
      </c>
      <c r="CO189" s="5" t="s">
        <v>395</v>
      </c>
      <c r="CP189" s="5" t="s">
        <v>395</v>
      </c>
      <c r="CQ189" s="5" t="s">
        <v>395</v>
      </c>
      <c r="CR189" s="5" t="s">
        <v>395</v>
      </c>
      <c r="CS189" s="5" t="s">
        <v>395</v>
      </c>
      <c r="CT189" s="5" t="s">
        <v>395</v>
      </c>
      <c r="CU189" s="5" t="s">
        <v>395</v>
      </c>
      <c r="CV189" s="5" t="s">
        <v>395</v>
      </c>
      <c r="CW189" s="5" t="s">
        <v>395</v>
      </c>
      <c r="CX189" s="5" t="s">
        <v>395</v>
      </c>
      <c r="CY189" s="252" t="s">
        <v>395</v>
      </c>
    </row>
    <row r="190" spans="1:103" x14ac:dyDescent="0.3">
      <c r="A190" s="31" t="s">
        <v>22</v>
      </c>
      <c r="B190" s="52" t="s">
        <v>22</v>
      </c>
      <c r="C190" s="19" t="s">
        <v>20</v>
      </c>
      <c r="D190" s="19" t="s">
        <v>125</v>
      </c>
      <c r="F190" s="33"/>
      <c r="G190" s="76">
        <v>40496</v>
      </c>
      <c r="H190" s="34">
        <v>2010</v>
      </c>
      <c r="I190" s="127" t="s">
        <v>3</v>
      </c>
      <c r="J190" s="127" t="s">
        <v>114</v>
      </c>
      <c r="K190" s="251">
        <v>0.76</v>
      </c>
      <c r="L190" s="5" t="s">
        <v>395</v>
      </c>
      <c r="M190" s="35">
        <v>1.5</v>
      </c>
      <c r="N190" s="35">
        <v>4.8</v>
      </c>
      <c r="O190" s="35">
        <v>6.8</v>
      </c>
      <c r="P190" s="35">
        <v>4.9000000000000004</v>
      </c>
      <c r="Q190" s="35">
        <v>8.4</v>
      </c>
      <c r="R190" s="35">
        <v>6.6</v>
      </c>
      <c r="S190" s="35">
        <v>1.7</v>
      </c>
      <c r="T190" s="5">
        <f t="shared" ref="T190:T214" si="153">SUM(M190:S190)</f>
        <v>34.700000000000003</v>
      </c>
      <c r="U190" s="5">
        <f t="shared" si="102"/>
        <v>196.05263157894737</v>
      </c>
      <c r="V190" s="35">
        <f>0.5*0.02</f>
        <v>0.01</v>
      </c>
      <c r="W190" s="35">
        <v>0.41</v>
      </c>
      <c r="X190" s="35">
        <v>9.7000000000000003E-2</v>
      </c>
      <c r="Y190" s="35">
        <v>0.14000000000000001</v>
      </c>
      <c r="Z190" s="5" t="s">
        <v>395</v>
      </c>
      <c r="AA190" s="35">
        <v>2.5999999999999999E-2</v>
      </c>
      <c r="AB190" s="35">
        <f>0.5*0.009</f>
        <v>4.4999999999999997E-3</v>
      </c>
      <c r="AC190" s="24" t="s">
        <v>395</v>
      </c>
      <c r="AD190" s="5" t="s">
        <v>395</v>
      </c>
      <c r="AE190" s="5">
        <f t="shared" si="149"/>
        <v>0.6875</v>
      </c>
      <c r="AF190" s="35">
        <f>0.5*1</f>
        <v>0.5</v>
      </c>
      <c r="AG190" s="250" t="s">
        <v>395</v>
      </c>
      <c r="AH190" s="25">
        <f>BC190/18.8</f>
        <v>13.617021276595745</v>
      </c>
      <c r="AI190" s="5" t="s">
        <v>395</v>
      </c>
      <c r="AJ190" s="5" t="s">
        <v>395</v>
      </c>
      <c r="AK190" s="5" t="s">
        <v>395</v>
      </c>
      <c r="AL190" s="5" t="s">
        <v>395</v>
      </c>
      <c r="AM190" s="5" t="s">
        <v>395</v>
      </c>
      <c r="AN190" s="5" t="s">
        <v>395</v>
      </c>
      <c r="AO190" s="5" t="s">
        <v>395</v>
      </c>
      <c r="AP190" s="5" t="s">
        <v>395</v>
      </c>
      <c r="AQ190" s="5" t="s">
        <v>395</v>
      </c>
      <c r="AR190" s="5" t="s">
        <v>395</v>
      </c>
      <c r="AS190" s="5" t="s">
        <v>395</v>
      </c>
      <c r="AT190" s="5" t="s">
        <v>395</v>
      </c>
      <c r="AU190" s="5" t="s">
        <v>395</v>
      </c>
      <c r="AV190" s="5" t="s">
        <v>395</v>
      </c>
      <c r="AW190" s="5" t="s">
        <v>395</v>
      </c>
      <c r="AX190" s="5" t="s">
        <v>395</v>
      </c>
      <c r="AY190" s="5" t="s">
        <v>395</v>
      </c>
      <c r="AZ190" s="5" t="s">
        <v>395</v>
      </c>
      <c r="BA190" s="5" t="s">
        <v>395</v>
      </c>
      <c r="BB190" s="5" t="s">
        <v>395</v>
      </c>
      <c r="BC190" s="94">
        <v>256</v>
      </c>
      <c r="BD190" s="5" t="s">
        <v>395</v>
      </c>
      <c r="BE190" s="5" t="s">
        <v>395</v>
      </c>
      <c r="BF190" s="5" t="s">
        <v>395</v>
      </c>
      <c r="BG190" s="5" t="s">
        <v>395</v>
      </c>
      <c r="BH190" s="5" t="s">
        <v>395</v>
      </c>
      <c r="BI190" s="5" t="s">
        <v>395</v>
      </c>
      <c r="BJ190" s="5" t="s">
        <v>395</v>
      </c>
      <c r="BK190" s="5" t="s">
        <v>395</v>
      </c>
      <c r="BL190" s="5" t="s">
        <v>395</v>
      </c>
      <c r="BM190" s="5" t="s">
        <v>395</v>
      </c>
      <c r="BN190" s="5" t="s">
        <v>395</v>
      </c>
      <c r="BO190" s="5" t="s">
        <v>395</v>
      </c>
      <c r="BP190" s="5" t="s">
        <v>395</v>
      </c>
      <c r="BQ190" s="5" t="s">
        <v>395</v>
      </c>
      <c r="BR190" s="5" t="s">
        <v>395</v>
      </c>
      <c r="BS190" s="5" t="s">
        <v>395</v>
      </c>
      <c r="BT190" s="5" t="s">
        <v>395</v>
      </c>
      <c r="BU190" s="5" t="s">
        <v>395</v>
      </c>
      <c r="BV190" s="5" t="s">
        <v>395</v>
      </c>
      <c r="BW190" s="5" t="s">
        <v>395</v>
      </c>
      <c r="BX190" s="5" t="s">
        <v>395</v>
      </c>
      <c r="BY190" s="5" t="s">
        <v>395</v>
      </c>
      <c r="BZ190" s="5" t="s">
        <v>395</v>
      </c>
      <c r="CA190" s="5" t="s">
        <v>395</v>
      </c>
      <c r="CB190" s="5" t="s">
        <v>395</v>
      </c>
      <c r="CC190" s="5" t="s">
        <v>395</v>
      </c>
      <c r="CD190" s="5" t="s">
        <v>395</v>
      </c>
      <c r="CE190" s="5" t="s">
        <v>395</v>
      </c>
      <c r="CF190" s="5" t="s">
        <v>395</v>
      </c>
      <c r="CG190" s="5" t="s">
        <v>395</v>
      </c>
      <c r="CH190" s="5" t="s">
        <v>395</v>
      </c>
      <c r="CI190" s="5" t="s">
        <v>395</v>
      </c>
      <c r="CJ190" s="5" t="s">
        <v>395</v>
      </c>
      <c r="CK190" s="5" t="s">
        <v>395</v>
      </c>
      <c r="CL190" s="5" t="s">
        <v>395</v>
      </c>
      <c r="CM190" s="5" t="s">
        <v>395</v>
      </c>
      <c r="CN190" s="5" t="s">
        <v>395</v>
      </c>
      <c r="CO190" s="5" t="s">
        <v>395</v>
      </c>
      <c r="CP190" s="5" t="s">
        <v>395</v>
      </c>
      <c r="CQ190" s="5" t="s">
        <v>395</v>
      </c>
      <c r="CR190" s="5" t="s">
        <v>395</v>
      </c>
      <c r="CS190" s="5" t="s">
        <v>395</v>
      </c>
      <c r="CT190" s="5" t="s">
        <v>395</v>
      </c>
      <c r="CU190" s="5" t="s">
        <v>395</v>
      </c>
      <c r="CV190" s="5" t="s">
        <v>395</v>
      </c>
      <c r="CW190" s="5" t="s">
        <v>395</v>
      </c>
      <c r="CX190" s="5" t="s">
        <v>395</v>
      </c>
      <c r="CY190" s="252" t="s">
        <v>395</v>
      </c>
    </row>
    <row r="191" spans="1:103" x14ac:dyDescent="0.3">
      <c r="A191" s="31" t="s">
        <v>22</v>
      </c>
      <c r="B191" s="52" t="s">
        <v>22</v>
      </c>
      <c r="C191" s="19" t="s">
        <v>20</v>
      </c>
      <c r="D191" s="19" t="s">
        <v>125</v>
      </c>
      <c r="F191" s="37"/>
      <c r="G191" s="76">
        <v>40496</v>
      </c>
      <c r="H191" s="34">
        <v>2010</v>
      </c>
      <c r="I191" s="127" t="s">
        <v>3</v>
      </c>
      <c r="J191" s="127" t="s">
        <v>114</v>
      </c>
      <c r="K191" s="251">
        <v>0.69</v>
      </c>
      <c r="L191" s="5" t="s">
        <v>395</v>
      </c>
      <c r="M191" s="35">
        <v>1.9</v>
      </c>
      <c r="N191" s="35">
        <v>4.7</v>
      </c>
      <c r="O191" s="35">
        <v>4.9000000000000004</v>
      </c>
      <c r="P191" s="35">
        <v>3.9</v>
      </c>
      <c r="Q191" s="35">
        <v>7.2</v>
      </c>
      <c r="R191" s="35">
        <v>5.5</v>
      </c>
      <c r="S191" s="35">
        <v>1.6</v>
      </c>
      <c r="T191" s="5">
        <f t="shared" si="153"/>
        <v>29.700000000000003</v>
      </c>
      <c r="U191" s="5">
        <f t="shared" si="102"/>
        <v>186.95652173913044</v>
      </c>
      <c r="V191" s="35">
        <v>2.1999999999999999E-2</v>
      </c>
      <c r="W191" s="35">
        <v>0.36</v>
      </c>
      <c r="X191" s="35">
        <v>9.2999999999999999E-2</v>
      </c>
      <c r="Y191" s="35">
        <v>8.3000000000000004E-2</v>
      </c>
      <c r="Z191" s="5" t="s">
        <v>395</v>
      </c>
      <c r="AA191" s="35">
        <v>2.3E-2</v>
      </c>
      <c r="AB191" s="35">
        <v>2.1999999999999999E-2</v>
      </c>
      <c r="AC191" s="24" t="s">
        <v>395</v>
      </c>
      <c r="AD191" s="5" t="s">
        <v>395</v>
      </c>
      <c r="AE191" s="5">
        <f t="shared" si="149"/>
        <v>0.60300000000000009</v>
      </c>
      <c r="AF191" s="35">
        <f t="shared" ref="AF191:AF197" si="154">0.5*0.5</f>
        <v>0.25</v>
      </c>
      <c r="AG191" s="250" t="s">
        <v>395</v>
      </c>
      <c r="AH191" s="25">
        <f t="shared" si="145"/>
        <v>22.127659574468083</v>
      </c>
      <c r="AI191" s="5" t="s">
        <v>395</v>
      </c>
      <c r="AJ191" s="5" t="s">
        <v>395</v>
      </c>
      <c r="AK191" s="5" t="s">
        <v>395</v>
      </c>
      <c r="AL191" s="5" t="s">
        <v>395</v>
      </c>
      <c r="AM191" s="5" t="s">
        <v>395</v>
      </c>
      <c r="AN191" s="5" t="s">
        <v>395</v>
      </c>
      <c r="AO191" s="5" t="s">
        <v>395</v>
      </c>
      <c r="AP191" s="5" t="s">
        <v>395</v>
      </c>
      <c r="AQ191" s="5" t="s">
        <v>395</v>
      </c>
      <c r="AR191" s="5" t="s">
        <v>395</v>
      </c>
      <c r="AS191" s="5" t="s">
        <v>395</v>
      </c>
      <c r="AT191" s="5" t="s">
        <v>395</v>
      </c>
      <c r="AU191" s="5" t="s">
        <v>395</v>
      </c>
      <c r="AV191" s="5" t="s">
        <v>395</v>
      </c>
      <c r="AW191" s="5" t="s">
        <v>395</v>
      </c>
      <c r="AX191" s="5" t="s">
        <v>395</v>
      </c>
      <c r="AY191" s="5" t="s">
        <v>395</v>
      </c>
      <c r="AZ191" s="5" t="s">
        <v>395</v>
      </c>
      <c r="BA191" s="5" t="s">
        <v>395</v>
      </c>
      <c r="BB191" s="5" t="s">
        <v>395</v>
      </c>
      <c r="BC191" s="94">
        <v>416</v>
      </c>
      <c r="BD191" s="5" t="s">
        <v>395</v>
      </c>
      <c r="BE191" s="5" t="s">
        <v>395</v>
      </c>
      <c r="BF191" s="5" t="s">
        <v>395</v>
      </c>
      <c r="BG191" s="5" t="s">
        <v>395</v>
      </c>
      <c r="BH191" s="5" t="s">
        <v>395</v>
      </c>
      <c r="BI191" s="5" t="s">
        <v>395</v>
      </c>
      <c r="BJ191" s="5" t="s">
        <v>395</v>
      </c>
      <c r="BK191" s="5" t="s">
        <v>395</v>
      </c>
      <c r="BL191" s="5" t="s">
        <v>395</v>
      </c>
      <c r="BM191" s="5" t="s">
        <v>395</v>
      </c>
      <c r="BN191" s="5" t="s">
        <v>395</v>
      </c>
      <c r="BO191" s="5" t="s">
        <v>395</v>
      </c>
      <c r="BP191" s="5" t="s">
        <v>395</v>
      </c>
      <c r="BQ191" s="5" t="s">
        <v>395</v>
      </c>
      <c r="BR191" s="5" t="s">
        <v>395</v>
      </c>
      <c r="BS191" s="5" t="s">
        <v>395</v>
      </c>
      <c r="BT191" s="5" t="s">
        <v>395</v>
      </c>
      <c r="BU191" s="5" t="s">
        <v>395</v>
      </c>
      <c r="BV191" s="5" t="s">
        <v>395</v>
      </c>
      <c r="BW191" s="5" t="s">
        <v>395</v>
      </c>
      <c r="BX191" s="5" t="s">
        <v>395</v>
      </c>
      <c r="BY191" s="5" t="s">
        <v>395</v>
      </c>
      <c r="BZ191" s="5" t="s">
        <v>395</v>
      </c>
      <c r="CA191" s="5" t="s">
        <v>395</v>
      </c>
      <c r="CB191" s="5" t="s">
        <v>395</v>
      </c>
      <c r="CC191" s="5" t="s">
        <v>395</v>
      </c>
      <c r="CD191" s="5" t="s">
        <v>395</v>
      </c>
      <c r="CE191" s="5" t="s">
        <v>395</v>
      </c>
      <c r="CF191" s="5" t="s">
        <v>395</v>
      </c>
      <c r="CG191" s="5" t="s">
        <v>395</v>
      </c>
      <c r="CH191" s="5" t="s">
        <v>395</v>
      </c>
      <c r="CI191" s="5" t="s">
        <v>395</v>
      </c>
      <c r="CJ191" s="5" t="s">
        <v>395</v>
      </c>
      <c r="CK191" s="5" t="s">
        <v>395</v>
      </c>
      <c r="CL191" s="5" t="s">
        <v>395</v>
      </c>
      <c r="CM191" s="5" t="s">
        <v>395</v>
      </c>
      <c r="CN191" s="5" t="s">
        <v>395</v>
      </c>
      <c r="CO191" s="5" t="s">
        <v>395</v>
      </c>
      <c r="CP191" s="5" t="s">
        <v>395</v>
      </c>
      <c r="CQ191" s="5" t="s">
        <v>395</v>
      </c>
      <c r="CR191" s="5" t="s">
        <v>395</v>
      </c>
      <c r="CS191" s="5" t="s">
        <v>395</v>
      </c>
      <c r="CT191" s="5" t="s">
        <v>395</v>
      </c>
      <c r="CU191" s="5" t="s">
        <v>395</v>
      </c>
      <c r="CV191" s="5" t="s">
        <v>395</v>
      </c>
      <c r="CW191" s="5" t="s">
        <v>395</v>
      </c>
      <c r="CX191" s="5" t="s">
        <v>395</v>
      </c>
      <c r="CY191" s="252" t="s">
        <v>395</v>
      </c>
    </row>
    <row r="192" spans="1:103" x14ac:dyDescent="0.3">
      <c r="A192" s="31" t="s">
        <v>22</v>
      </c>
      <c r="B192" s="52" t="s">
        <v>22</v>
      </c>
      <c r="C192" s="19" t="s">
        <v>20</v>
      </c>
      <c r="D192" s="19" t="s">
        <v>125</v>
      </c>
      <c r="F192" s="33"/>
      <c r="G192" s="76">
        <v>40496</v>
      </c>
      <c r="H192" s="34">
        <v>2010</v>
      </c>
      <c r="I192" s="127" t="s">
        <v>3</v>
      </c>
      <c r="J192" s="127" t="s">
        <v>114</v>
      </c>
      <c r="K192" s="251">
        <v>0.71</v>
      </c>
      <c r="L192" s="5" t="s">
        <v>395</v>
      </c>
      <c r="M192" s="35">
        <v>2.2000000000000002</v>
      </c>
      <c r="N192" s="35">
        <v>4.3</v>
      </c>
      <c r="O192" s="35">
        <v>7.7</v>
      </c>
      <c r="P192" s="35">
        <v>7.8</v>
      </c>
      <c r="Q192" s="35">
        <v>8.6999999999999993</v>
      </c>
      <c r="R192" s="35">
        <v>8.5</v>
      </c>
      <c r="S192" s="35">
        <v>1.9</v>
      </c>
      <c r="T192" s="5">
        <f t="shared" si="153"/>
        <v>41.1</v>
      </c>
      <c r="U192" s="5">
        <f t="shared" si="102"/>
        <v>234.50704225352112</v>
      </c>
      <c r="V192" s="35">
        <f>0.5*0.017</f>
        <v>8.5000000000000006E-3</v>
      </c>
      <c r="W192" s="35">
        <v>0.43</v>
      </c>
      <c r="X192" s="35">
        <v>0.11</v>
      </c>
      <c r="Y192" s="35">
        <v>0.13</v>
      </c>
      <c r="Z192" s="5" t="s">
        <v>395</v>
      </c>
      <c r="AA192" s="35">
        <v>2.7E-2</v>
      </c>
      <c r="AB192" s="35">
        <v>1.7999999999999999E-2</v>
      </c>
      <c r="AC192" s="24" t="s">
        <v>395</v>
      </c>
      <c r="AD192" s="5" t="s">
        <v>395</v>
      </c>
      <c r="AE192" s="5">
        <f t="shared" si="149"/>
        <v>0.72350000000000003</v>
      </c>
      <c r="AF192" s="35">
        <f t="shared" si="154"/>
        <v>0.25</v>
      </c>
      <c r="AG192" s="250" t="s">
        <v>395</v>
      </c>
      <c r="AH192" s="25">
        <f t="shared" si="145"/>
        <v>11.117021276595745</v>
      </c>
      <c r="AI192" s="5" t="s">
        <v>395</v>
      </c>
      <c r="AJ192" s="5" t="s">
        <v>395</v>
      </c>
      <c r="AK192" s="5" t="s">
        <v>395</v>
      </c>
      <c r="AL192" s="5" t="s">
        <v>395</v>
      </c>
      <c r="AM192" s="5" t="s">
        <v>395</v>
      </c>
      <c r="AN192" s="5" t="s">
        <v>395</v>
      </c>
      <c r="AO192" s="5" t="s">
        <v>395</v>
      </c>
      <c r="AP192" s="5" t="s">
        <v>395</v>
      </c>
      <c r="AQ192" s="5" t="s">
        <v>395</v>
      </c>
      <c r="AR192" s="5" t="s">
        <v>395</v>
      </c>
      <c r="AS192" s="5" t="s">
        <v>395</v>
      </c>
      <c r="AT192" s="5" t="s">
        <v>395</v>
      </c>
      <c r="AU192" s="5" t="s">
        <v>395</v>
      </c>
      <c r="AV192" s="5" t="s">
        <v>395</v>
      </c>
      <c r="AW192" s="5" t="s">
        <v>395</v>
      </c>
      <c r="AX192" s="5" t="s">
        <v>395</v>
      </c>
      <c r="AY192" s="5" t="s">
        <v>395</v>
      </c>
      <c r="AZ192" s="5" t="s">
        <v>395</v>
      </c>
      <c r="BA192" s="5" t="s">
        <v>395</v>
      </c>
      <c r="BB192" s="5" t="s">
        <v>395</v>
      </c>
      <c r="BC192" s="94">
        <v>209</v>
      </c>
      <c r="BD192" s="5" t="s">
        <v>395</v>
      </c>
      <c r="BE192" s="5" t="s">
        <v>395</v>
      </c>
      <c r="BF192" s="5" t="s">
        <v>395</v>
      </c>
      <c r="BG192" s="5" t="s">
        <v>395</v>
      </c>
      <c r="BH192" s="5" t="s">
        <v>395</v>
      </c>
      <c r="BI192" s="5" t="s">
        <v>395</v>
      </c>
      <c r="BJ192" s="5" t="s">
        <v>395</v>
      </c>
      <c r="BK192" s="5" t="s">
        <v>395</v>
      </c>
      <c r="BL192" s="5" t="s">
        <v>395</v>
      </c>
      <c r="BM192" s="5" t="s">
        <v>395</v>
      </c>
      <c r="BN192" s="5" t="s">
        <v>395</v>
      </c>
      <c r="BO192" s="5" t="s">
        <v>395</v>
      </c>
      <c r="BP192" s="5" t="s">
        <v>395</v>
      </c>
      <c r="BQ192" s="5" t="s">
        <v>395</v>
      </c>
      <c r="BR192" s="5" t="s">
        <v>395</v>
      </c>
      <c r="BS192" s="5" t="s">
        <v>395</v>
      </c>
      <c r="BT192" s="5" t="s">
        <v>395</v>
      </c>
      <c r="BU192" s="5" t="s">
        <v>395</v>
      </c>
      <c r="BV192" s="5" t="s">
        <v>395</v>
      </c>
      <c r="BW192" s="5" t="s">
        <v>395</v>
      </c>
      <c r="BX192" s="5" t="s">
        <v>395</v>
      </c>
      <c r="BY192" s="5" t="s">
        <v>395</v>
      </c>
      <c r="BZ192" s="5" t="s">
        <v>395</v>
      </c>
      <c r="CA192" s="5" t="s">
        <v>395</v>
      </c>
      <c r="CB192" s="5" t="s">
        <v>395</v>
      </c>
      <c r="CC192" s="5" t="s">
        <v>395</v>
      </c>
      <c r="CD192" s="5" t="s">
        <v>395</v>
      </c>
      <c r="CE192" s="5" t="s">
        <v>395</v>
      </c>
      <c r="CF192" s="5" t="s">
        <v>395</v>
      </c>
      <c r="CG192" s="5" t="s">
        <v>395</v>
      </c>
      <c r="CH192" s="5" t="s">
        <v>395</v>
      </c>
      <c r="CI192" s="5" t="s">
        <v>395</v>
      </c>
      <c r="CJ192" s="5" t="s">
        <v>395</v>
      </c>
      <c r="CK192" s="5" t="s">
        <v>395</v>
      </c>
      <c r="CL192" s="5" t="s">
        <v>395</v>
      </c>
      <c r="CM192" s="5" t="s">
        <v>395</v>
      </c>
      <c r="CN192" s="5" t="s">
        <v>395</v>
      </c>
      <c r="CO192" s="5" t="s">
        <v>395</v>
      </c>
      <c r="CP192" s="5" t="s">
        <v>395</v>
      </c>
      <c r="CQ192" s="5" t="s">
        <v>395</v>
      </c>
      <c r="CR192" s="5" t="s">
        <v>395</v>
      </c>
      <c r="CS192" s="5" t="s">
        <v>395</v>
      </c>
      <c r="CT192" s="5" t="s">
        <v>395</v>
      </c>
      <c r="CU192" s="5" t="s">
        <v>395</v>
      </c>
      <c r="CV192" s="5" t="s">
        <v>395</v>
      </c>
      <c r="CW192" s="5" t="s">
        <v>395</v>
      </c>
      <c r="CX192" s="5" t="s">
        <v>395</v>
      </c>
      <c r="CY192" s="252" t="s">
        <v>395</v>
      </c>
    </row>
    <row r="193" spans="1:103" x14ac:dyDescent="0.3">
      <c r="A193" s="31" t="s">
        <v>22</v>
      </c>
      <c r="B193" s="52" t="s">
        <v>22</v>
      </c>
      <c r="C193" s="19" t="s">
        <v>20</v>
      </c>
      <c r="D193" s="19" t="s">
        <v>125</v>
      </c>
      <c r="F193" s="33"/>
      <c r="G193" s="76">
        <v>40496</v>
      </c>
      <c r="H193" s="34">
        <v>2010</v>
      </c>
      <c r="I193" s="127" t="s">
        <v>3</v>
      </c>
      <c r="J193" s="127" t="s">
        <v>114</v>
      </c>
      <c r="K193" s="251">
        <v>0.72</v>
      </c>
      <c r="L193" s="5" t="s">
        <v>395</v>
      </c>
      <c r="M193" s="35">
        <v>2.2999999999999998</v>
      </c>
      <c r="N193" s="35">
        <v>4</v>
      </c>
      <c r="O193" s="35">
        <v>5.5</v>
      </c>
      <c r="P193" s="35">
        <v>4.4000000000000004</v>
      </c>
      <c r="Q193" s="35">
        <v>6.9</v>
      </c>
      <c r="R193" s="35">
        <v>5.3</v>
      </c>
      <c r="S193" s="35">
        <v>1.7</v>
      </c>
      <c r="T193" s="5">
        <f t="shared" si="153"/>
        <v>30.1</v>
      </c>
      <c r="U193" s="5">
        <f t="shared" si="102"/>
        <v>178.47222222222226</v>
      </c>
      <c r="V193" s="35">
        <v>1.2E-2</v>
      </c>
      <c r="W193" s="35">
        <v>1.5</v>
      </c>
      <c r="X193" s="35">
        <v>0.51</v>
      </c>
      <c r="Y193" s="35">
        <v>0.28999999999999998</v>
      </c>
      <c r="Z193" s="5" t="s">
        <v>395</v>
      </c>
      <c r="AA193" s="35">
        <v>6.6000000000000003E-2</v>
      </c>
      <c r="AB193" s="35">
        <v>3.2000000000000001E-2</v>
      </c>
      <c r="AC193" s="24" t="s">
        <v>395</v>
      </c>
      <c r="AD193" s="5" t="s">
        <v>395</v>
      </c>
      <c r="AE193" s="5">
        <f t="shared" si="149"/>
        <v>2.41</v>
      </c>
      <c r="AF193" s="35">
        <f t="shared" si="154"/>
        <v>0.25</v>
      </c>
      <c r="AG193" s="250" t="s">
        <v>395</v>
      </c>
      <c r="AH193" s="25">
        <f t="shared" si="145"/>
        <v>13.617021276595745</v>
      </c>
      <c r="AI193" s="5" t="s">
        <v>395</v>
      </c>
      <c r="AJ193" s="5" t="s">
        <v>395</v>
      </c>
      <c r="AK193" s="5" t="s">
        <v>395</v>
      </c>
      <c r="AL193" s="5" t="s">
        <v>395</v>
      </c>
      <c r="AM193" s="5" t="s">
        <v>395</v>
      </c>
      <c r="AN193" s="5" t="s">
        <v>395</v>
      </c>
      <c r="AO193" s="5" t="s">
        <v>395</v>
      </c>
      <c r="AP193" s="5" t="s">
        <v>395</v>
      </c>
      <c r="AQ193" s="5" t="s">
        <v>395</v>
      </c>
      <c r="AR193" s="5" t="s">
        <v>395</v>
      </c>
      <c r="AS193" s="5" t="s">
        <v>395</v>
      </c>
      <c r="AT193" s="5" t="s">
        <v>395</v>
      </c>
      <c r="AU193" s="5" t="s">
        <v>395</v>
      </c>
      <c r="AV193" s="5" t="s">
        <v>395</v>
      </c>
      <c r="AW193" s="5" t="s">
        <v>395</v>
      </c>
      <c r="AX193" s="5" t="s">
        <v>395</v>
      </c>
      <c r="AY193" s="5" t="s">
        <v>395</v>
      </c>
      <c r="AZ193" s="5" t="s">
        <v>395</v>
      </c>
      <c r="BA193" s="5" t="s">
        <v>395</v>
      </c>
      <c r="BB193" s="5" t="s">
        <v>395</v>
      </c>
      <c r="BC193" s="94">
        <v>256</v>
      </c>
      <c r="BD193" s="5" t="s">
        <v>395</v>
      </c>
      <c r="BE193" s="5" t="s">
        <v>395</v>
      </c>
      <c r="BF193" s="5" t="s">
        <v>395</v>
      </c>
      <c r="BG193" s="5" t="s">
        <v>395</v>
      </c>
      <c r="BH193" s="5" t="s">
        <v>395</v>
      </c>
      <c r="BI193" s="5" t="s">
        <v>395</v>
      </c>
      <c r="BJ193" s="5" t="s">
        <v>395</v>
      </c>
      <c r="BK193" s="5" t="s">
        <v>395</v>
      </c>
      <c r="BL193" s="5" t="s">
        <v>395</v>
      </c>
      <c r="BM193" s="5" t="s">
        <v>395</v>
      </c>
      <c r="BN193" s="5" t="s">
        <v>395</v>
      </c>
      <c r="BO193" s="5" t="s">
        <v>395</v>
      </c>
      <c r="BP193" s="5" t="s">
        <v>395</v>
      </c>
      <c r="BQ193" s="5" t="s">
        <v>395</v>
      </c>
      <c r="BR193" s="5" t="s">
        <v>395</v>
      </c>
      <c r="BS193" s="5" t="s">
        <v>395</v>
      </c>
      <c r="BT193" s="5" t="s">
        <v>395</v>
      </c>
      <c r="BU193" s="5" t="s">
        <v>395</v>
      </c>
      <c r="BV193" s="5" t="s">
        <v>395</v>
      </c>
      <c r="BW193" s="5" t="s">
        <v>395</v>
      </c>
      <c r="BX193" s="5" t="s">
        <v>395</v>
      </c>
      <c r="BY193" s="5" t="s">
        <v>395</v>
      </c>
      <c r="BZ193" s="5" t="s">
        <v>395</v>
      </c>
      <c r="CA193" s="5" t="s">
        <v>395</v>
      </c>
      <c r="CB193" s="5" t="s">
        <v>395</v>
      </c>
      <c r="CC193" s="5" t="s">
        <v>395</v>
      </c>
      <c r="CD193" s="5" t="s">
        <v>395</v>
      </c>
      <c r="CE193" s="5" t="s">
        <v>395</v>
      </c>
      <c r="CF193" s="5" t="s">
        <v>395</v>
      </c>
      <c r="CG193" s="5" t="s">
        <v>395</v>
      </c>
      <c r="CH193" s="5" t="s">
        <v>395</v>
      </c>
      <c r="CI193" s="5" t="s">
        <v>395</v>
      </c>
      <c r="CJ193" s="5" t="s">
        <v>395</v>
      </c>
      <c r="CK193" s="5" t="s">
        <v>395</v>
      </c>
      <c r="CL193" s="5" t="s">
        <v>395</v>
      </c>
      <c r="CM193" s="5" t="s">
        <v>395</v>
      </c>
      <c r="CN193" s="5" t="s">
        <v>395</v>
      </c>
      <c r="CO193" s="5" t="s">
        <v>395</v>
      </c>
      <c r="CP193" s="5" t="s">
        <v>395</v>
      </c>
      <c r="CQ193" s="5" t="s">
        <v>395</v>
      </c>
      <c r="CR193" s="5" t="s">
        <v>395</v>
      </c>
      <c r="CS193" s="5" t="s">
        <v>395</v>
      </c>
      <c r="CT193" s="5" t="s">
        <v>395</v>
      </c>
      <c r="CU193" s="5" t="s">
        <v>395</v>
      </c>
      <c r="CV193" s="5" t="s">
        <v>395</v>
      </c>
      <c r="CW193" s="5" t="s">
        <v>395</v>
      </c>
      <c r="CX193" s="5" t="s">
        <v>395</v>
      </c>
      <c r="CY193" s="252" t="s">
        <v>395</v>
      </c>
    </row>
    <row r="194" spans="1:103" x14ac:dyDescent="0.3">
      <c r="A194" s="31" t="s">
        <v>22</v>
      </c>
      <c r="B194" s="52" t="s">
        <v>22</v>
      </c>
      <c r="C194" s="19" t="s">
        <v>20</v>
      </c>
      <c r="D194" s="19" t="s">
        <v>125</v>
      </c>
      <c r="F194" s="33"/>
      <c r="G194" s="76">
        <v>40496</v>
      </c>
      <c r="H194" s="34">
        <v>2010</v>
      </c>
      <c r="I194" s="127" t="s">
        <v>3</v>
      </c>
      <c r="J194" s="127" t="s">
        <v>114</v>
      </c>
      <c r="K194" s="251">
        <v>0.72</v>
      </c>
      <c r="L194" s="5" t="s">
        <v>395</v>
      </c>
      <c r="M194" s="35">
        <v>2.9</v>
      </c>
      <c r="N194" s="35">
        <v>7.8</v>
      </c>
      <c r="O194" s="35">
        <v>13</v>
      </c>
      <c r="P194" s="35">
        <v>9.9</v>
      </c>
      <c r="Q194" s="35">
        <v>18</v>
      </c>
      <c r="R194" s="35">
        <v>11</v>
      </c>
      <c r="S194" s="35">
        <v>3.7</v>
      </c>
      <c r="T194" s="5">
        <f t="shared" si="153"/>
        <v>66.3</v>
      </c>
      <c r="U194" s="5">
        <f t="shared" si="102"/>
        <v>391.66666666666674</v>
      </c>
      <c r="V194" s="35">
        <v>9.1000000000000004E-3</v>
      </c>
      <c r="W194" s="35">
        <v>0.61</v>
      </c>
      <c r="X194" s="35">
        <v>0.18</v>
      </c>
      <c r="Y194" s="35">
        <v>0.18</v>
      </c>
      <c r="Z194" s="5" t="s">
        <v>395</v>
      </c>
      <c r="AA194" s="35">
        <v>5.7000000000000002E-2</v>
      </c>
      <c r="AB194" s="35">
        <v>2.8000000000000001E-2</v>
      </c>
      <c r="AC194" s="24" t="s">
        <v>395</v>
      </c>
      <c r="AD194" s="5" t="s">
        <v>395</v>
      </c>
      <c r="AE194" s="5">
        <f t="shared" si="149"/>
        <v>1.0640999999999998</v>
      </c>
      <c r="AF194" s="35">
        <f t="shared" si="154"/>
        <v>0.25</v>
      </c>
      <c r="AG194" s="250" t="s">
        <v>395</v>
      </c>
      <c r="AH194" s="25">
        <f t="shared" si="145"/>
        <v>13.617021276595745</v>
      </c>
      <c r="AI194" s="5" t="s">
        <v>395</v>
      </c>
      <c r="AJ194" s="5" t="s">
        <v>395</v>
      </c>
      <c r="AK194" s="5" t="s">
        <v>395</v>
      </c>
      <c r="AL194" s="5" t="s">
        <v>395</v>
      </c>
      <c r="AM194" s="5" t="s">
        <v>395</v>
      </c>
      <c r="AN194" s="5" t="s">
        <v>395</v>
      </c>
      <c r="AO194" s="5" t="s">
        <v>395</v>
      </c>
      <c r="AP194" s="5" t="s">
        <v>395</v>
      </c>
      <c r="AQ194" s="5" t="s">
        <v>395</v>
      </c>
      <c r="AR194" s="5" t="s">
        <v>395</v>
      </c>
      <c r="AS194" s="5" t="s">
        <v>395</v>
      </c>
      <c r="AT194" s="5" t="s">
        <v>395</v>
      </c>
      <c r="AU194" s="5" t="s">
        <v>395</v>
      </c>
      <c r="AV194" s="5" t="s">
        <v>395</v>
      </c>
      <c r="AW194" s="5" t="s">
        <v>395</v>
      </c>
      <c r="AX194" s="5" t="s">
        <v>395</v>
      </c>
      <c r="AY194" s="5" t="s">
        <v>395</v>
      </c>
      <c r="AZ194" s="5" t="s">
        <v>395</v>
      </c>
      <c r="BA194" s="5" t="s">
        <v>395</v>
      </c>
      <c r="BB194" s="5" t="s">
        <v>395</v>
      </c>
      <c r="BC194" s="94">
        <v>256</v>
      </c>
      <c r="BD194" s="5" t="s">
        <v>395</v>
      </c>
      <c r="BE194" s="5" t="s">
        <v>395</v>
      </c>
      <c r="BF194" s="5" t="s">
        <v>395</v>
      </c>
      <c r="BG194" s="5" t="s">
        <v>395</v>
      </c>
      <c r="BH194" s="5" t="s">
        <v>395</v>
      </c>
      <c r="BI194" s="5" t="s">
        <v>395</v>
      </c>
      <c r="BJ194" s="5" t="s">
        <v>395</v>
      </c>
      <c r="BK194" s="5" t="s">
        <v>395</v>
      </c>
      <c r="BL194" s="5" t="s">
        <v>395</v>
      </c>
      <c r="BM194" s="5" t="s">
        <v>395</v>
      </c>
      <c r="BN194" s="5" t="s">
        <v>395</v>
      </c>
      <c r="BO194" s="5" t="s">
        <v>395</v>
      </c>
      <c r="BP194" s="5" t="s">
        <v>395</v>
      </c>
      <c r="BQ194" s="5" t="s">
        <v>395</v>
      </c>
      <c r="BR194" s="5" t="s">
        <v>395</v>
      </c>
      <c r="BS194" s="5" t="s">
        <v>395</v>
      </c>
      <c r="BT194" s="5" t="s">
        <v>395</v>
      </c>
      <c r="BU194" s="5" t="s">
        <v>395</v>
      </c>
      <c r="BV194" s="5" t="s">
        <v>395</v>
      </c>
      <c r="BW194" s="5" t="s">
        <v>395</v>
      </c>
      <c r="BX194" s="5" t="s">
        <v>395</v>
      </c>
      <c r="BY194" s="5" t="s">
        <v>395</v>
      </c>
      <c r="BZ194" s="5" t="s">
        <v>395</v>
      </c>
      <c r="CA194" s="5" t="s">
        <v>395</v>
      </c>
      <c r="CB194" s="5" t="s">
        <v>395</v>
      </c>
      <c r="CC194" s="5" t="s">
        <v>395</v>
      </c>
      <c r="CD194" s="5" t="s">
        <v>395</v>
      </c>
      <c r="CE194" s="5" t="s">
        <v>395</v>
      </c>
      <c r="CF194" s="5" t="s">
        <v>395</v>
      </c>
      <c r="CG194" s="5" t="s">
        <v>395</v>
      </c>
      <c r="CH194" s="5" t="s">
        <v>395</v>
      </c>
      <c r="CI194" s="5" t="s">
        <v>395</v>
      </c>
      <c r="CJ194" s="5" t="s">
        <v>395</v>
      </c>
      <c r="CK194" s="5" t="s">
        <v>395</v>
      </c>
      <c r="CL194" s="5" t="s">
        <v>395</v>
      </c>
      <c r="CM194" s="5" t="s">
        <v>395</v>
      </c>
      <c r="CN194" s="5" t="s">
        <v>395</v>
      </c>
      <c r="CO194" s="5" t="s">
        <v>395</v>
      </c>
      <c r="CP194" s="5" t="s">
        <v>395</v>
      </c>
      <c r="CQ194" s="5" t="s">
        <v>395</v>
      </c>
      <c r="CR194" s="5" t="s">
        <v>395</v>
      </c>
      <c r="CS194" s="5" t="s">
        <v>395</v>
      </c>
      <c r="CT194" s="5" t="s">
        <v>395</v>
      </c>
      <c r="CU194" s="5" t="s">
        <v>395</v>
      </c>
      <c r="CV194" s="5" t="s">
        <v>395</v>
      </c>
      <c r="CW194" s="5" t="s">
        <v>395</v>
      </c>
      <c r="CX194" s="5" t="s">
        <v>395</v>
      </c>
      <c r="CY194" s="252" t="s">
        <v>395</v>
      </c>
    </row>
    <row r="195" spans="1:103" x14ac:dyDescent="0.3">
      <c r="A195" s="31" t="s">
        <v>22</v>
      </c>
      <c r="B195" s="52" t="s">
        <v>22</v>
      </c>
      <c r="C195" s="19" t="s">
        <v>20</v>
      </c>
      <c r="D195" s="19" t="s">
        <v>125</v>
      </c>
      <c r="F195" s="33"/>
      <c r="G195" s="76">
        <v>40496</v>
      </c>
      <c r="H195" s="34">
        <v>2010</v>
      </c>
      <c r="I195" s="127" t="s">
        <v>3</v>
      </c>
      <c r="J195" s="127" t="s">
        <v>114</v>
      </c>
      <c r="K195" s="251">
        <v>0.74</v>
      </c>
      <c r="L195" s="5" t="s">
        <v>395</v>
      </c>
      <c r="M195" s="35">
        <v>5.0999999999999996</v>
      </c>
      <c r="N195" s="35">
        <v>8.6</v>
      </c>
      <c r="O195" s="35">
        <v>16</v>
      </c>
      <c r="P195" s="35">
        <v>13</v>
      </c>
      <c r="Q195" s="35">
        <v>35</v>
      </c>
      <c r="R195" s="35">
        <v>20</v>
      </c>
      <c r="S195" s="35">
        <v>7.7</v>
      </c>
      <c r="T195" s="5">
        <f t="shared" si="153"/>
        <v>105.4</v>
      </c>
      <c r="U195" s="5">
        <f t="shared" ref="U195:U214" si="155">SUM(M195,N195,O195,Q195,R195,S195)*(5/K195)</f>
        <v>624.32432432432438</v>
      </c>
      <c r="V195" s="35">
        <v>9.4000000000000004E-3</v>
      </c>
      <c r="W195" s="35">
        <v>0.85</v>
      </c>
      <c r="X195" s="35">
        <v>0.21</v>
      </c>
      <c r="Y195" s="35">
        <v>0.19</v>
      </c>
      <c r="Z195" s="5" t="s">
        <v>395</v>
      </c>
      <c r="AA195" s="35">
        <v>5.7000000000000002E-2</v>
      </c>
      <c r="AB195" s="35">
        <v>2.9000000000000001E-2</v>
      </c>
      <c r="AC195" s="24" t="s">
        <v>395</v>
      </c>
      <c r="AD195" s="5" t="s">
        <v>395</v>
      </c>
      <c r="AE195" s="5">
        <f t="shared" si="149"/>
        <v>1.3453999999999997</v>
      </c>
      <c r="AF195" s="35">
        <f t="shared" si="154"/>
        <v>0.25</v>
      </c>
      <c r="AG195" s="250" t="s">
        <v>395</v>
      </c>
      <c r="AH195" s="25">
        <f t="shared" si="145"/>
        <v>25.691489361702125</v>
      </c>
      <c r="AI195" s="5" t="s">
        <v>395</v>
      </c>
      <c r="AJ195" s="5" t="s">
        <v>395</v>
      </c>
      <c r="AK195" s="5" t="s">
        <v>395</v>
      </c>
      <c r="AL195" s="5" t="s">
        <v>395</v>
      </c>
      <c r="AM195" s="5" t="s">
        <v>395</v>
      </c>
      <c r="AN195" s="5" t="s">
        <v>395</v>
      </c>
      <c r="AO195" s="5" t="s">
        <v>395</v>
      </c>
      <c r="AP195" s="5" t="s">
        <v>395</v>
      </c>
      <c r="AQ195" s="5" t="s">
        <v>395</v>
      </c>
      <c r="AR195" s="5" t="s">
        <v>395</v>
      </c>
      <c r="AS195" s="5" t="s">
        <v>395</v>
      </c>
      <c r="AT195" s="5" t="s">
        <v>395</v>
      </c>
      <c r="AU195" s="5" t="s">
        <v>395</v>
      </c>
      <c r="AV195" s="5" t="s">
        <v>395</v>
      </c>
      <c r="AW195" s="5" t="s">
        <v>395</v>
      </c>
      <c r="AX195" s="5" t="s">
        <v>395</v>
      </c>
      <c r="AY195" s="5" t="s">
        <v>395</v>
      </c>
      <c r="AZ195" s="5" t="s">
        <v>395</v>
      </c>
      <c r="BA195" s="5" t="s">
        <v>395</v>
      </c>
      <c r="BB195" s="5" t="s">
        <v>395</v>
      </c>
      <c r="BC195" s="94">
        <v>483</v>
      </c>
      <c r="BD195" s="5" t="s">
        <v>395</v>
      </c>
      <c r="BE195" s="5" t="s">
        <v>395</v>
      </c>
      <c r="BF195" s="5" t="s">
        <v>395</v>
      </c>
      <c r="BG195" s="5" t="s">
        <v>395</v>
      </c>
      <c r="BH195" s="5" t="s">
        <v>395</v>
      </c>
      <c r="BI195" s="5" t="s">
        <v>395</v>
      </c>
      <c r="BJ195" s="5" t="s">
        <v>395</v>
      </c>
      <c r="BK195" s="5" t="s">
        <v>395</v>
      </c>
      <c r="BL195" s="5" t="s">
        <v>395</v>
      </c>
      <c r="BM195" s="5" t="s">
        <v>395</v>
      </c>
      <c r="BN195" s="5" t="s">
        <v>395</v>
      </c>
      <c r="BO195" s="5" t="s">
        <v>395</v>
      </c>
      <c r="BP195" s="5" t="s">
        <v>395</v>
      </c>
      <c r="BQ195" s="5" t="s">
        <v>395</v>
      </c>
      <c r="BR195" s="5" t="s">
        <v>395</v>
      </c>
      <c r="BS195" s="5" t="s">
        <v>395</v>
      </c>
      <c r="BT195" s="5" t="s">
        <v>395</v>
      </c>
      <c r="BU195" s="5" t="s">
        <v>395</v>
      </c>
      <c r="BV195" s="5" t="s">
        <v>395</v>
      </c>
      <c r="BW195" s="5" t="s">
        <v>395</v>
      </c>
      <c r="BX195" s="5" t="s">
        <v>395</v>
      </c>
      <c r="BY195" s="5" t="s">
        <v>395</v>
      </c>
      <c r="BZ195" s="5" t="s">
        <v>395</v>
      </c>
      <c r="CA195" s="5" t="s">
        <v>395</v>
      </c>
      <c r="CB195" s="5" t="s">
        <v>395</v>
      </c>
      <c r="CC195" s="5" t="s">
        <v>395</v>
      </c>
      <c r="CD195" s="5" t="s">
        <v>395</v>
      </c>
      <c r="CE195" s="5" t="s">
        <v>395</v>
      </c>
      <c r="CF195" s="5" t="s">
        <v>395</v>
      </c>
      <c r="CG195" s="5" t="s">
        <v>395</v>
      </c>
      <c r="CH195" s="5" t="s">
        <v>395</v>
      </c>
      <c r="CI195" s="5" t="s">
        <v>395</v>
      </c>
      <c r="CJ195" s="5" t="s">
        <v>395</v>
      </c>
      <c r="CK195" s="5" t="s">
        <v>395</v>
      </c>
      <c r="CL195" s="5" t="s">
        <v>395</v>
      </c>
      <c r="CM195" s="5" t="s">
        <v>395</v>
      </c>
      <c r="CN195" s="5" t="s">
        <v>395</v>
      </c>
      <c r="CO195" s="5" t="s">
        <v>395</v>
      </c>
      <c r="CP195" s="5" t="s">
        <v>395</v>
      </c>
      <c r="CQ195" s="5" t="s">
        <v>395</v>
      </c>
      <c r="CR195" s="5" t="s">
        <v>395</v>
      </c>
      <c r="CS195" s="5" t="s">
        <v>395</v>
      </c>
      <c r="CT195" s="5" t="s">
        <v>395</v>
      </c>
      <c r="CU195" s="5" t="s">
        <v>395</v>
      </c>
      <c r="CV195" s="5" t="s">
        <v>395</v>
      </c>
      <c r="CW195" s="5" t="s">
        <v>395</v>
      </c>
      <c r="CX195" s="5" t="s">
        <v>395</v>
      </c>
      <c r="CY195" s="252" t="s">
        <v>395</v>
      </c>
    </row>
    <row r="196" spans="1:103" x14ac:dyDescent="0.3">
      <c r="A196" s="31" t="s">
        <v>22</v>
      </c>
      <c r="B196" s="52" t="s">
        <v>22</v>
      </c>
      <c r="C196" s="19" t="s">
        <v>20</v>
      </c>
      <c r="D196" s="19" t="s">
        <v>125</v>
      </c>
      <c r="F196" s="33"/>
      <c r="G196" s="76">
        <v>40496</v>
      </c>
      <c r="H196" s="34">
        <v>2010</v>
      </c>
      <c r="I196" s="127" t="s">
        <v>3</v>
      </c>
      <c r="J196" s="127" t="s">
        <v>114</v>
      </c>
      <c r="K196" s="251">
        <v>0.61</v>
      </c>
      <c r="L196" s="5" t="s">
        <v>395</v>
      </c>
      <c r="M196" s="35">
        <v>2.1</v>
      </c>
      <c r="N196" s="35">
        <v>5.2</v>
      </c>
      <c r="O196" s="35">
        <v>5</v>
      </c>
      <c r="P196" s="35">
        <v>4.8</v>
      </c>
      <c r="Q196" s="35">
        <v>8.4</v>
      </c>
      <c r="R196" s="35">
        <v>6</v>
      </c>
      <c r="S196" s="35">
        <v>2.2000000000000002</v>
      </c>
      <c r="T196" s="5">
        <f t="shared" si="153"/>
        <v>33.700000000000003</v>
      </c>
      <c r="U196" s="5">
        <f t="shared" si="155"/>
        <v>236.88524590163934</v>
      </c>
      <c r="V196" s="35">
        <v>6.9000000000000008E-3</v>
      </c>
      <c r="W196" s="35">
        <v>0.3</v>
      </c>
      <c r="X196" s="35">
        <v>0.11</v>
      </c>
      <c r="Y196" s="35">
        <v>0.13</v>
      </c>
      <c r="Z196" s="5" t="s">
        <v>395</v>
      </c>
      <c r="AA196" s="35">
        <v>2.3E-2</v>
      </c>
      <c r="AB196" s="35">
        <v>8.199999999999999E-3</v>
      </c>
      <c r="AC196" s="24" t="s">
        <v>395</v>
      </c>
      <c r="AD196" s="5" t="s">
        <v>395</v>
      </c>
      <c r="AE196" s="5">
        <f t="shared" si="149"/>
        <v>0.57810000000000006</v>
      </c>
      <c r="AF196" s="35">
        <f t="shared" si="154"/>
        <v>0.25</v>
      </c>
      <c r="AG196" s="250" t="s">
        <v>395</v>
      </c>
      <c r="AH196" s="25">
        <f t="shared" si="145"/>
        <v>14.627659574468085</v>
      </c>
      <c r="AI196" s="5" t="s">
        <v>395</v>
      </c>
      <c r="AJ196" s="5" t="s">
        <v>395</v>
      </c>
      <c r="AK196" s="5" t="s">
        <v>395</v>
      </c>
      <c r="AL196" s="5" t="s">
        <v>395</v>
      </c>
      <c r="AM196" s="5" t="s">
        <v>395</v>
      </c>
      <c r="AN196" s="5" t="s">
        <v>395</v>
      </c>
      <c r="AO196" s="5" t="s">
        <v>395</v>
      </c>
      <c r="AP196" s="5" t="s">
        <v>395</v>
      </c>
      <c r="AQ196" s="5" t="s">
        <v>395</v>
      </c>
      <c r="AR196" s="5" t="s">
        <v>395</v>
      </c>
      <c r="AS196" s="5" t="s">
        <v>395</v>
      </c>
      <c r="AT196" s="5" t="s">
        <v>395</v>
      </c>
      <c r="AU196" s="5" t="s">
        <v>395</v>
      </c>
      <c r="AV196" s="5" t="s">
        <v>395</v>
      </c>
      <c r="AW196" s="5" t="s">
        <v>395</v>
      </c>
      <c r="AX196" s="5" t="s">
        <v>395</v>
      </c>
      <c r="AY196" s="5" t="s">
        <v>395</v>
      </c>
      <c r="AZ196" s="5" t="s">
        <v>395</v>
      </c>
      <c r="BA196" s="5" t="s">
        <v>395</v>
      </c>
      <c r="BB196" s="5" t="s">
        <v>395</v>
      </c>
      <c r="BC196" s="94">
        <v>275</v>
      </c>
      <c r="BD196" s="5" t="s">
        <v>395</v>
      </c>
      <c r="BE196" s="5" t="s">
        <v>395</v>
      </c>
      <c r="BF196" s="5" t="s">
        <v>395</v>
      </c>
      <c r="BG196" s="5" t="s">
        <v>395</v>
      </c>
      <c r="BH196" s="5" t="s">
        <v>395</v>
      </c>
      <c r="BI196" s="5" t="s">
        <v>395</v>
      </c>
      <c r="BJ196" s="5" t="s">
        <v>395</v>
      </c>
      <c r="BK196" s="5" t="s">
        <v>395</v>
      </c>
      <c r="BL196" s="5" t="s">
        <v>395</v>
      </c>
      <c r="BM196" s="5" t="s">
        <v>395</v>
      </c>
      <c r="BN196" s="5" t="s">
        <v>395</v>
      </c>
      <c r="BO196" s="5" t="s">
        <v>395</v>
      </c>
      <c r="BP196" s="5" t="s">
        <v>395</v>
      </c>
      <c r="BQ196" s="5" t="s">
        <v>395</v>
      </c>
      <c r="BR196" s="5" t="s">
        <v>395</v>
      </c>
      <c r="BS196" s="5" t="s">
        <v>395</v>
      </c>
      <c r="BT196" s="5" t="s">
        <v>395</v>
      </c>
      <c r="BU196" s="5" t="s">
        <v>395</v>
      </c>
      <c r="BV196" s="5" t="s">
        <v>395</v>
      </c>
      <c r="BW196" s="5" t="s">
        <v>395</v>
      </c>
      <c r="BX196" s="5" t="s">
        <v>395</v>
      </c>
      <c r="BY196" s="5" t="s">
        <v>395</v>
      </c>
      <c r="BZ196" s="5" t="s">
        <v>395</v>
      </c>
      <c r="CA196" s="5" t="s">
        <v>395</v>
      </c>
      <c r="CB196" s="5" t="s">
        <v>395</v>
      </c>
      <c r="CC196" s="5" t="s">
        <v>395</v>
      </c>
      <c r="CD196" s="5" t="s">
        <v>395</v>
      </c>
      <c r="CE196" s="5" t="s">
        <v>395</v>
      </c>
      <c r="CF196" s="5" t="s">
        <v>395</v>
      </c>
      <c r="CG196" s="5" t="s">
        <v>395</v>
      </c>
      <c r="CH196" s="5" t="s">
        <v>395</v>
      </c>
      <c r="CI196" s="5" t="s">
        <v>395</v>
      </c>
      <c r="CJ196" s="5" t="s">
        <v>395</v>
      </c>
      <c r="CK196" s="5" t="s">
        <v>395</v>
      </c>
      <c r="CL196" s="5" t="s">
        <v>395</v>
      </c>
      <c r="CM196" s="5" t="s">
        <v>395</v>
      </c>
      <c r="CN196" s="5" t="s">
        <v>395</v>
      </c>
      <c r="CO196" s="5" t="s">
        <v>395</v>
      </c>
      <c r="CP196" s="5" t="s">
        <v>395</v>
      </c>
      <c r="CQ196" s="5" t="s">
        <v>395</v>
      </c>
      <c r="CR196" s="5" t="s">
        <v>395</v>
      </c>
      <c r="CS196" s="5" t="s">
        <v>395</v>
      </c>
      <c r="CT196" s="5" t="s">
        <v>395</v>
      </c>
      <c r="CU196" s="5" t="s">
        <v>395</v>
      </c>
      <c r="CV196" s="5" t="s">
        <v>395</v>
      </c>
      <c r="CW196" s="5" t="s">
        <v>395</v>
      </c>
      <c r="CX196" s="5" t="s">
        <v>395</v>
      </c>
      <c r="CY196" s="252" t="s">
        <v>395</v>
      </c>
    </row>
    <row r="197" spans="1:103" x14ac:dyDescent="0.3">
      <c r="A197" s="31" t="s">
        <v>22</v>
      </c>
      <c r="B197" s="52" t="s">
        <v>22</v>
      </c>
      <c r="C197" s="19" t="s">
        <v>20</v>
      </c>
      <c r="D197" s="19" t="s">
        <v>125</v>
      </c>
      <c r="F197" s="33"/>
      <c r="G197" s="76">
        <v>40496</v>
      </c>
      <c r="H197" s="34">
        <v>2010</v>
      </c>
      <c r="I197" s="127" t="s">
        <v>3</v>
      </c>
      <c r="J197" s="127" t="s">
        <v>114</v>
      </c>
      <c r="K197" s="251">
        <v>0.52</v>
      </c>
      <c r="L197" s="5" t="s">
        <v>395</v>
      </c>
      <c r="M197" s="35">
        <v>4.0999999999999996</v>
      </c>
      <c r="N197" s="35">
        <v>7.4</v>
      </c>
      <c r="O197" s="35">
        <v>9.5</v>
      </c>
      <c r="P197" s="35">
        <v>6.8</v>
      </c>
      <c r="Q197" s="35">
        <v>14</v>
      </c>
      <c r="R197" s="35">
        <v>10</v>
      </c>
      <c r="S197" s="35">
        <v>3.2</v>
      </c>
      <c r="T197" s="5">
        <f t="shared" si="153"/>
        <v>55</v>
      </c>
      <c r="U197" s="5">
        <f t="shared" si="155"/>
        <v>463.46153846153845</v>
      </c>
      <c r="V197" s="35">
        <v>0.01</v>
      </c>
      <c r="W197" s="35">
        <v>0.45</v>
      </c>
      <c r="X197" s="35">
        <v>0.15</v>
      </c>
      <c r="Y197" s="35">
        <v>0.21</v>
      </c>
      <c r="Z197" s="5" t="s">
        <v>395</v>
      </c>
      <c r="AA197" s="35">
        <v>3.6999999999999998E-2</v>
      </c>
      <c r="AB197" s="35">
        <v>2.4E-2</v>
      </c>
      <c r="AC197" s="24" t="s">
        <v>395</v>
      </c>
      <c r="AD197" s="5" t="s">
        <v>395</v>
      </c>
      <c r="AE197" s="5">
        <f t="shared" si="149"/>
        <v>0.88100000000000012</v>
      </c>
      <c r="AF197" s="35">
        <f t="shared" si="154"/>
        <v>0.25</v>
      </c>
      <c r="AG197" s="250" t="s">
        <v>395</v>
      </c>
      <c r="AH197" s="25">
        <f t="shared" si="145"/>
        <v>13.24468085106383</v>
      </c>
      <c r="AI197" s="5" t="s">
        <v>395</v>
      </c>
      <c r="AJ197" s="5" t="s">
        <v>395</v>
      </c>
      <c r="AK197" s="5" t="s">
        <v>395</v>
      </c>
      <c r="AL197" s="5" t="s">
        <v>395</v>
      </c>
      <c r="AM197" s="5" t="s">
        <v>395</v>
      </c>
      <c r="AN197" s="5" t="s">
        <v>395</v>
      </c>
      <c r="AO197" s="5" t="s">
        <v>395</v>
      </c>
      <c r="AP197" s="5" t="s">
        <v>395</v>
      </c>
      <c r="AQ197" s="5" t="s">
        <v>395</v>
      </c>
      <c r="AR197" s="5" t="s">
        <v>395</v>
      </c>
      <c r="AS197" s="5" t="s">
        <v>395</v>
      </c>
      <c r="AT197" s="5" t="s">
        <v>395</v>
      </c>
      <c r="AU197" s="5" t="s">
        <v>395</v>
      </c>
      <c r="AV197" s="5" t="s">
        <v>395</v>
      </c>
      <c r="AW197" s="5" t="s">
        <v>395</v>
      </c>
      <c r="AX197" s="5" t="s">
        <v>395</v>
      </c>
      <c r="AY197" s="5" t="s">
        <v>395</v>
      </c>
      <c r="AZ197" s="5" t="s">
        <v>395</v>
      </c>
      <c r="BA197" s="5" t="s">
        <v>395</v>
      </c>
      <c r="BB197" s="5" t="s">
        <v>395</v>
      </c>
      <c r="BC197" s="94">
        <v>249</v>
      </c>
      <c r="BD197" s="5" t="s">
        <v>395</v>
      </c>
      <c r="BE197" s="5" t="s">
        <v>395</v>
      </c>
      <c r="BF197" s="5" t="s">
        <v>395</v>
      </c>
      <c r="BG197" s="5" t="s">
        <v>395</v>
      </c>
      <c r="BH197" s="5" t="s">
        <v>395</v>
      </c>
      <c r="BI197" s="5" t="s">
        <v>395</v>
      </c>
      <c r="BJ197" s="5" t="s">
        <v>395</v>
      </c>
      <c r="BK197" s="5" t="s">
        <v>395</v>
      </c>
      <c r="BL197" s="5" t="s">
        <v>395</v>
      </c>
      <c r="BM197" s="5" t="s">
        <v>395</v>
      </c>
      <c r="BN197" s="5" t="s">
        <v>395</v>
      </c>
      <c r="BO197" s="5" t="s">
        <v>395</v>
      </c>
      <c r="BP197" s="5" t="s">
        <v>395</v>
      </c>
      <c r="BQ197" s="5" t="s">
        <v>395</v>
      </c>
      <c r="BR197" s="5" t="s">
        <v>395</v>
      </c>
      <c r="BS197" s="5" t="s">
        <v>395</v>
      </c>
      <c r="BT197" s="5" t="s">
        <v>395</v>
      </c>
      <c r="BU197" s="5" t="s">
        <v>395</v>
      </c>
      <c r="BV197" s="5" t="s">
        <v>395</v>
      </c>
      <c r="BW197" s="5" t="s">
        <v>395</v>
      </c>
      <c r="BX197" s="5" t="s">
        <v>395</v>
      </c>
      <c r="BY197" s="5" t="s">
        <v>395</v>
      </c>
      <c r="BZ197" s="5" t="s">
        <v>395</v>
      </c>
      <c r="CA197" s="5" t="s">
        <v>395</v>
      </c>
      <c r="CB197" s="5" t="s">
        <v>395</v>
      </c>
      <c r="CC197" s="5" t="s">
        <v>395</v>
      </c>
      <c r="CD197" s="5" t="s">
        <v>395</v>
      </c>
      <c r="CE197" s="5" t="s">
        <v>395</v>
      </c>
      <c r="CF197" s="5" t="s">
        <v>395</v>
      </c>
      <c r="CG197" s="5" t="s">
        <v>395</v>
      </c>
      <c r="CH197" s="5" t="s">
        <v>395</v>
      </c>
      <c r="CI197" s="5" t="s">
        <v>395</v>
      </c>
      <c r="CJ197" s="5" t="s">
        <v>395</v>
      </c>
      <c r="CK197" s="5" t="s">
        <v>395</v>
      </c>
      <c r="CL197" s="5" t="s">
        <v>395</v>
      </c>
      <c r="CM197" s="5" t="s">
        <v>395</v>
      </c>
      <c r="CN197" s="5" t="s">
        <v>395</v>
      </c>
      <c r="CO197" s="5" t="s">
        <v>395</v>
      </c>
      <c r="CP197" s="5" t="s">
        <v>395</v>
      </c>
      <c r="CQ197" s="5" t="s">
        <v>395</v>
      </c>
      <c r="CR197" s="5" t="s">
        <v>395</v>
      </c>
      <c r="CS197" s="5" t="s">
        <v>395</v>
      </c>
      <c r="CT197" s="5" t="s">
        <v>395</v>
      </c>
      <c r="CU197" s="5" t="s">
        <v>395</v>
      </c>
      <c r="CV197" s="5" t="s">
        <v>395</v>
      </c>
      <c r="CW197" s="5" t="s">
        <v>395</v>
      </c>
      <c r="CX197" s="5" t="s">
        <v>395</v>
      </c>
      <c r="CY197" s="252" t="s">
        <v>395</v>
      </c>
    </row>
    <row r="198" spans="1:103" x14ac:dyDescent="0.3">
      <c r="A198" s="31" t="s">
        <v>22</v>
      </c>
      <c r="B198" s="52" t="s">
        <v>22</v>
      </c>
      <c r="C198" s="19" t="s">
        <v>20</v>
      </c>
      <c r="D198" s="19" t="s">
        <v>125</v>
      </c>
      <c r="F198" s="37"/>
      <c r="G198" s="76">
        <v>40496</v>
      </c>
      <c r="H198" s="34">
        <v>2010</v>
      </c>
      <c r="I198" s="127" t="s">
        <v>3</v>
      </c>
      <c r="J198" s="127" t="s">
        <v>114</v>
      </c>
      <c r="K198" s="251">
        <v>0.64</v>
      </c>
      <c r="L198" s="5" t="s">
        <v>395</v>
      </c>
      <c r="M198" s="35">
        <v>0.91</v>
      </c>
      <c r="N198" s="35">
        <v>1.6</v>
      </c>
      <c r="O198" s="35">
        <v>2.1</v>
      </c>
      <c r="P198" s="35">
        <v>2</v>
      </c>
      <c r="Q198" s="35">
        <v>4.7</v>
      </c>
      <c r="R198" s="35">
        <v>3.2</v>
      </c>
      <c r="S198" s="35">
        <v>1.1000000000000001</v>
      </c>
      <c r="T198" s="5">
        <f t="shared" si="153"/>
        <v>15.610000000000001</v>
      </c>
      <c r="U198" s="5">
        <f t="shared" si="155"/>
        <v>106.32812500000001</v>
      </c>
      <c r="V198" s="35">
        <v>3.2000000000000002E-3</v>
      </c>
      <c r="W198" s="35">
        <v>0.18</v>
      </c>
      <c r="X198" s="35">
        <v>6.8000000000000005E-2</v>
      </c>
      <c r="Y198" s="35">
        <v>6.7000000000000004E-2</v>
      </c>
      <c r="Z198" s="5" t="s">
        <v>395</v>
      </c>
      <c r="AA198" s="35">
        <v>2.7E-2</v>
      </c>
      <c r="AB198" s="35">
        <v>1.2E-2</v>
      </c>
      <c r="AC198" s="24" t="s">
        <v>395</v>
      </c>
      <c r="AD198" s="5" t="s">
        <v>395</v>
      </c>
      <c r="AE198" s="5">
        <f t="shared" si="149"/>
        <v>0.35720000000000002</v>
      </c>
      <c r="AF198" s="35">
        <f>0.5*2.5</f>
        <v>1.25</v>
      </c>
      <c r="AG198" s="250" t="s">
        <v>395</v>
      </c>
      <c r="AH198" s="25">
        <f t="shared" si="145"/>
        <v>0.70212765957446799</v>
      </c>
      <c r="AI198" s="5" t="s">
        <v>395</v>
      </c>
      <c r="AJ198" s="5" t="s">
        <v>395</v>
      </c>
      <c r="AK198" s="5" t="s">
        <v>395</v>
      </c>
      <c r="AL198" s="5" t="s">
        <v>395</v>
      </c>
      <c r="AM198" s="5" t="s">
        <v>395</v>
      </c>
      <c r="AN198" s="5" t="s">
        <v>395</v>
      </c>
      <c r="AO198" s="5" t="s">
        <v>395</v>
      </c>
      <c r="AP198" s="5" t="s">
        <v>395</v>
      </c>
      <c r="AQ198" s="5" t="s">
        <v>395</v>
      </c>
      <c r="AR198" s="5" t="s">
        <v>395</v>
      </c>
      <c r="AS198" s="5" t="s">
        <v>395</v>
      </c>
      <c r="AT198" s="5" t="s">
        <v>395</v>
      </c>
      <c r="AU198" s="5" t="s">
        <v>395</v>
      </c>
      <c r="AV198" s="5" t="s">
        <v>395</v>
      </c>
      <c r="AW198" s="5" t="s">
        <v>395</v>
      </c>
      <c r="AX198" s="5" t="s">
        <v>395</v>
      </c>
      <c r="AY198" s="5" t="s">
        <v>395</v>
      </c>
      <c r="AZ198" s="5" t="s">
        <v>395</v>
      </c>
      <c r="BA198" s="5" t="s">
        <v>395</v>
      </c>
      <c r="BB198" s="5" t="s">
        <v>395</v>
      </c>
      <c r="BC198" s="94">
        <v>13.2</v>
      </c>
      <c r="BD198" s="5" t="s">
        <v>395</v>
      </c>
      <c r="BE198" s="5" t="s">
        <v>395</v>
      </c>
      <c r="BF198" s="5" t="s">
        <v>395</v>
      </c>
      <c r="BG198" s="5" t="s">
        <v>395</v>
      </c>
      <c r="BH198" s="5" t="s">
        <v>395</v>
      </c>
      <c r="BI198" s="5" t="s">
        <v>395</v>
      </c>
      <c r="BJ198" s="5" t="s">
        <v>395</v>
      </c>
      <c r="BK198" s="5" t="s">
        <v>395</v>
      </c>
      <c r="BL198" s="5" t="s">
        <v>395</v>
      </c>
      <c r="BM198" s="5" t="s">
        <v>395</v>
      </c>
      <c r="BN198" s="5" t="s">
        <v>395</v>
      </c>
      <c r="BO198" s="5" t="s">
        <v>395</v>
      </c>
      <c r="BP198" s="5" t="s">
        <v>395</v>
      </c>
      <c r="BQ198" s="5" t="s">
        <v>395</v>
      </c>
      <c r="BR198" s="5" t="s">
        <v>395</v>
      </c>
      <c r="BS198" s="5" t="s">
        <v>395</v>
      </c>
      <c r="BT198" s="5" t="s">
        <v>395</v>
      </c>
      <c r="BU198" s="5" t="s">
        <v>395</v>
      </c>
      <c r="BV198" s="5" t="s">
        <v>395</v>
      </c>
      <c r="BW198" s="5" t="s">
        <v>395</v>
      </c>
      <c r="BX198" s="5" t="s">
        <v>395</v>
      </c>
      <c r="BY198" s="5" t="s">
        <v>395</v>
      </c>
      <c r="BZ198" s="5" t="s">
        <v>395</v>
      </c>
      <c r="CA198" s="5" t="s">
        <v>395</v>
      </c>
      <c r="CB198" s="5" t="s">
        <v>395</v>
      </c>
      <c r="CC198" s="5" t="s">
        <v>395</v>
      </c>
      <c r="CD198" s="5" t="s">
        <v>395</v>
      </c>
      <c r="CE198" s="5" t="s">
        <v>395</v>
      </c>
      <c r="CF198" s="5" t="s">
        <v>395</v>
      </c>
      <c r="CG198" s="5" t="s">
        <v>395</v>
      </c>
      <c r="CH198" s="5" t="s">
        <v>395</v>
      </c>
      <c r="CI198" s="5" t="s">
        <v>395</v>
      </c>
      <c r="CJ198" s="5" t="s">
        <v>395</v>
      </c>
      <c r="CK198" s="5" t="s">
        <v>395</v>
      </c>
      <c r="CL198" s="5" t="s">
        <v>395</v>
      </c>
      <c r="CM198" s="5" t="s">
        <v>395</v>
      </c>
      <c r="CN198" s="5" t="s">
        <v>395</v>
      </c>
      <c r="CO198" s="5" t="s">
        <v>395</v>
      </c>
      <c r="CP198" s="5" t="s">
        <v>395</v>
      </c>
      <c r="CQ198" s="5" t="s">
        <v>395</v>
      </c>
      <c r="CR198" s="5" t="s">
        <v>395</v>
      </c>
      <c r="CS198" s="5" t="s">
        <v>395</v>
      </c>
      <c r="CT198" s="5" t="s">
        <v>395</v>
      </c>
      <c r="CU198" s="5" t="s">
        <v>395</v>
      </c>
      <c r="CV198" s="5" t="s">
        <v>395</v>
      </c>
      <c r="CW198" s="5" t="s">
        <v>395</v>
      </c>
      <c r="CX198" s="5" t="s">
        <v>395</v>
      </c>
      <c r="CY198" s="252" t="s">
        <v>395</v>
      </c>
    </row>
    <row r="199" spans="1:103" x14ac:dyDescent="0.3">
      <c r="A199" s="31" t="s">
        <v>22</v>
      </c>
      <c r="B199" s="52" t="s">
        <v>22</v>
      </c>
      <c r="C199" s="19" t="s">
        <v>20</v>
      </c>
      <c r="D199" s="19" t="s">
        <v>125</v>
      </c>
      <c r="F199" s="37"/>
      <c r="G199" s="76">
        <v>40496</v>
      </c>
      <c r="H199" s="34">
        <v>2010</v>
      </c>
      <c r="I199" s="127" t="s">
        <v>3</v>
      </c>
      <c r="J199" s="127" t="s">
        <v>114</v>
      </c>
      <c r="K199" s="251">
        <v>0.71</v>
      </c>
      <c r="L199" s="5" t="s">
        <v>395</v>
      </c>
      <c r="M199" s="35">
        <v>1.9</v>
      </c>
      <c r="N199" s="35">
        <v>5</v>
      </c>
      <c r="O199" s="35">
        <v>8.3000000000000007</v>
      </c>
      <c r="P199" s="35">
        <v>8.1</v>
      </c>
      <c r="Q199" s="35">
        <v>15</v>
      </c>
      <c r="R199" s="35">
        <v>12</v>
      </c>
      <c r="S199" s="35">
        <v>3.9</v>
      </c>
      <c r="T199" s="5">
        <f t="shared" si="153"/>
        <v>54.199999999999996</v>
      </c>
      <c r="U199" s="5">
        <f t="shared" si="155"/>
        <v>324.64788732394368</v>
      </c>
      <c r="V199" s="35">
        <v>6.3E-3</v>
      </c>
      <c r="W199" s="35">
        <v>0.63</v>
      </c>
      <c r="X199" s="35">
        <v>0.21</v>
      </c>
      <c r="Y199" s="35">
        <v>0.24</v>
      </c>
      <c r="Z199" s="5" t="s">
        <v>395</v>
      </c>
      <c r="AA199" s="35">
        <v>6.5000000000000002E-2</v>
      </c>
      <c r="AB199" s="35">
        <v>4.2999999999999997E-2</v>
      </c>
      <c r="AC199" s="24" t="s">
        <v>395</v>
      </c>
      <c r="AD199" s="5" t="s">
        <v>395</v>
      </c>
      <c r="AE199" s="5">
        <f t="shared" si="149"/>
        <v>1.1942999999999999</v>
      </c>
      <c r="AF199" s="35">
        <f t="shared" ref="AF199:AF205" si="156">0.5*0.5</f>
        <v>0.25</v>
      </c>
      <c r="AG199" s="250" t="s">
        <v>395</v>
      </c>
      <c r="AH199" s="25">
        <f t="shared" si="145"/>
        <v>15.212765957446807</v>
      </c>
      <c r="AI199" s="5" t="s">
        <v>395</v>
      </c>
      <c r="AJ199" s="5" t="s">
        <v>395</v>
      </c>
      <c r="AK199" s="5" t="s">
        <v>395</v>
      </c>
      <c r="AL199" s="5" t="s">
        <v>395</v>
      </c>
      <c r="AM199" s="5" t="s">
        <v>395</v>
      </c>
      <c r="AN199" s="5" t="s">
        <v>395</v>
      </c>
      <c r="AO199" s="5" t="s">
        <v>395</v>
      </c>
      <c r="AP199" s="5" t="s">
        <v>395</v>
      </c>
      <c r="AQ199" s="5" t="s">
        <v>395</v>
      </c>
      <c r="AR199" s="5" t="s">
        <v>395</v>
      </c>
      <c r="AS199" s="5" t="s">
        <v>395</v>
      </c>
      <c r="AT199" s="5" t="s">
        <v>395</v>
      </c>
      <c r="AU199" s="5" t="s">
        <v>395</v>
      </c>
      <c r="AV199" s="5" t="s">
        <v>395</v>
      </c>
      <c r="AW199" s="5" t="s">
        <v>395</v>
      </c>
      <c r="AX199" s="5" t="s">
        <v>395</v>
      </c>
      <c r="AY199" s="5" t="s">
        <v>395</v>
      </c>
      <c r="AZ199" s="5" t="s">
        <v>395</v>
      </c>
      <c r="BA199" s="5" t="s">
        <v>395</v>
      </c>
      <c r="BB199" s="5" t="s">
        <v>395</v>
      </c>
      <c r="BC199" s="94">
        <v>286</v>
      </c>
      <c r="BD199" s="5" t="s">
        <v>395</v>
      </c>
      <c r="BE199" s="5" t="s">
        <v>395</v>
      </c>
      <c r="BF199" s="5" t="s">
        <v>395</v>
      </c>
      <c r="BG199" s="5" t="s">
        <v>395</v>
      </c>
      <c r="BH199" s="5" t="s">
        <v>395</v>
      </c>
      <c r="BI199" s="5" t="s">
        <v>395</v>
      </c>
      <c r="BJ199" s="5" t="s">
        <v>395</v>
      </c>
      <c r="BK199" s="5" t="s">
        <v>395</v>
      </c>
      <c r="BL199" s="5" t="s">
        <v>395</v>
      </c>
      <c r="BM199" s="5" t="s">
        <v>395</v>
      </c>
      <c r="BN199" s="5" t="s">
        <v>395</v>
      </c>
      <c r="BO199" s="5" t="s">
        <v>395</v>
      </c>
      <c r="BP199" s="5" t="s">
        <v>395</v>
      </c>
      <c r="BQ199" s="5" t="s">
        <v>395</v>
      </c>
      <c r="BR199" s="5" t="s">
        <v>395</v>
      </c>
      <c r="BS199" s="5" t="s">
        <v>395</v>
      </c>
      <c r="BT199" s="5" t="s">
        <v>395</v>
      </c>
      <c r="BU199" s="5" t="s">
        <v>395</v>
      </c>
      <c r="BV199" s="5" t="s">
        <v>395</v>
      </c>
      <c r="BW199" s="5" t="s">
        <v>395</v>
      </c>
      <c r="BX199" s="5" t="s">
        <v>395</v>
      </c>
      <c r="BY199" s="5" t="s">
        <v>395</v>
      </c>
      <c r="BZ199" s="5" t="s">
        <v>395</v>
      </c>
      <c r="CA199" s="5" t="s">
        <v>395</v>
      </c>
      <c r="CB199" s="5" t="s">
        <v>395</v>
      </c>
      <c r="CC199" s="5" t="s">
        <v>395</v>
      </c>
      <c r="CD199" s="5" t="s">
        <v>395</v>
      </c>
      <c r="CE199" s="5" t="s">
        <v>395</v>
      </c>
      <c r="CF199" s="5" t="s">
        <v>395</v>
      </c>
      <c r="CG199" s="5" t="s">
        <v>395</v>
      </c>
      <c r="CH199" s="5" t="s">
        <v>395</v>
      </c>
      <c r="CI199" s="5" t="s">
        <v>395</v>
      </c>
      <c r="CJ199" s="5" t="s">
        <v>395</v>
      </c>
      <c r="CK199" s="5" t="s">
        <v>395</v>
      </c>
      <c r="CL199" s="5" t="s">
        <v>395</v>
      </c>
      <c r="CM199" s="5" t="s">
        <v>395</v>
      </c>
      <c r="CN199" s="5" t="s">
        <v>395</v>
      </c>
      <c r="CO199" s="5" t="s">
        <v>395</v>
      </c>
      <c r="CP199" s="5" t="s">
        <v>395</v>
      </c>
      <c r="CQ199" s="5" t="s">
        <v>395</v>
      </c>
      <c r="CR199" s="5" t="s">
        <v>395</v>
      </c>
      <c r="CS199" s="5" t="s">
        <v>395</v>
      </c>
      <c r="CT199" s="5" t="s">
        <v>395</v>
      </c>
      <c r="CU199" s="5" t="s">
        <v>395</v>
      </c>
      <c r="CV199" s="5" t="s">
        <v>395</v>
      </c>
      <c r="CW199" s="5" t="s">
        <v>395</v>
      </c>
      <c r="CX199" s="5" t="s">
        <v>395</v>
      </c>
      <c r="CY199" s="252" t="s">
        <v>395</v>
      </c>
    </row>
    <row r="200" spans="1:103" x14ac:dyDescent="0.3">
      <c r="A200" s="31" t="s">
        <v>21</v>
      </c>
      <c r="B200" s="52" t="s">
        <v>21</v>
      </c>
      <c r="C200" s="19" t="s">
        <v>20</v>
      </c>
      <c r="D200" s="19" t="s">
        <v>125</v>
      </c>
      <c r="F200" s="37"/>
      <c r="G200" s="76">
        <v>40433</v>
      </c>
      <c r="H200" s="34">
        <v>2010</v>
      </c>
      <c r="I200" s="127" t="s">
        <v>3</v>
      </c>
      <c r="J200" s="127" t="s">
        <v>114</v>
      </c>
      <c r="K200" s="251">
        <v>0.48</v>
      </c>
      <c r="L200" s="5" t="s">
        <v>395</v>
      </c>
      <c r="M200" s="35">
        <v>0.23</v>
      </c>
      <c r="N200" s="35">
        <v>0.44</v>
      </c>
      <c r="O200" s="35">
        <v>2.5</v>
      </c>
      <c r="P200" s="35">
        <v>2</v>
      </c>
      <c r="Q200" s="35">
        <v>7</v>
      </c>
      <c r="R200" s="35">
        <v>4</v>
      </c>
      <c r="S200" s="35">
        <v>2</v>
      </c>
      <c r="T200" s="5">
        <f t="shared" si="153"/>
        <v>18.170000000000002</v>
      </c>
      <c r="U200" s="5">
        <f t="shared" si="155"/>
        <v>168.43750000000003</v>
      </c>
      <c r="V200" s="35">
        <v>1.7999999999999999E-2</v>
      </c>
      <c r="W200" s="35">
        <v>0.39</v>
      </c>
      <c r="X200" s="35">
        <v>9.8000000000000004E-2</v>
      </c>
      <c r="Y200" s="35">
        <v>7.9000000000000001E-2</v>
      </c>
      <c r="Z200" s="5" t="s">
        <v>395</v>
      </c>
      <c r="AA200" s="35">
        <v>2.7E-2</v>
      </c>
      <c r="AB200" s="35">
        <v>1.2999999999999999E-2</v>
      </c>
      <c r="AC200" s="24" t="s">
        <v>395</v>
      </c>
      <c r="AD200" s="5" t="s">
        <v>395</v>
      </c>
      <c r="AE200" s="5">
        <f t="shared" si="149"/>
        <v>0.62500000000000011</v>
      </c>
      <c r="AF200" s="35">
        <f t="shared" si="156"/>
        <v>0.25</v>
      </c>
      <c r="AG200" s="250" t="s">
        <v>395</v>
      </c>
      <c r="AH200" s="25">
        <f t="shared" si="145"/>
        <v>26.808510638297872</v>
      </c>
      <c r="AI200" s="5" t="s">
        <v>395</v>
      </c>
      <c r="AJ200" s="5" t="s">
        <v>395</v>
      </c>
      <c r="AK200" s="5" t="s">
        <v>395</v>
      </c>
      <c r="AL200" s="5" t="s">
        <v>395</v>
      </c>
      <c r="AM200" s="5" t="s">
        <v>395</v>
      </c>
      <c r="AN200" s="5" t="s">
        <v>395</v>
      </c>
      <c r="AO200" s="5" t="s">
        <v>395</v>
      </c>
      <c r="AP200" s="5" t="s">
        <v>395</v>
      </c>
      <c r="AQ200" s="5" t="s">
        <v>395</v>
      </c>
      <c r="AR200" s="5" t="s">
        <v>395</v>
      </c>
      <c r="AS200" s="5" t="s">
        <v>395</v>
      </c>
      <c r="AT200" s="5" t="s">
        <v>395</v>
      </c>
      <c r="AU200" s="5" t="s">
        <v>395</v>
      </c>
      <c r="AV200" s="5" t="s">
        <v>395</v>
      </c>
      <c r="AW200" s="5" t="s">
        <v>395</v>
      </c>
      <c r="AX200" s="5" t="s">
        <v>395</v>
      </c>
      <c r="AY200" s="5" t="s">
        <v>395</v>
      </c>
      <c r="AZ200" s="5" t="s">
        <v>395</v>
      </c>
      <c r="BA200" s="5" t="s">
        <v>395</v>
      </c>
      <c r="BB200" s="5" t="s">
        <v>395</v>
      </c>
      <c r="BC200" s="94">
        <v>504</v>
      </c>
      <c r="BD200" s="5" t="s">
        <v>395</v>
      </c>
      <c r="BE200" s="5" t="s">
        <v>395</v>
      </c>
      <c r="BF200" s="5" t="s">
        <v>395</v>
      </c>
      <c r="BG200" s="5" t="s">
        <v>395</v>
      </c>
      <c r="BH200" s="5" t="s">
        <v>395</v>
      </c>
      <c r="BI200" s="5" t="s">
        <v>395</v>
      </c>
      <c r="BJ200" s="5" t="s">
        <v>395</v>
      </c>
      <c r="BK200" s="5" t="s">
        <v>395</v>
      </c>
      <c r="BL200" s="5" t="s">
        <v>395</v>
      </c>
      <c r="BM200" s="5" t="s">
        <v>395</v>
      </c>
      <c r="BN200" s="5" t="s">
        <v>395</v>
      </c>
      <c r="BO200" s="5" t="s">
        <v>395</v>
      </c>
      <c r="BP200" s="5" t="s">
        <v>395</v>
      </c>
      <c r="BQ200" s="5" t="s">
        <v>395</v>
      </c>
      <c r="BR200" s="5" t="s">
        <v>395</v>
      </c>
      <c r="BS200" s="5" t="s">
        <v>395</v>
      </c>
      <c r="BT200" s="5" t="s">
        <v>395</v>
      </c>
      <c r="BU200" s="5" t="s">
        <v>395</v>
      </c>
      <c r="BV200" s="5" t="s">
        <v>395</v>
      </c>
      <c r="BW200" s="5" t="s">
        <v>395</v>
      </c>
      <c r="BX200" s="5" t="s">
        <v>395</v>
      </c>
      <c r="BY200" s="5" t="s">
        <v>395</v>
      </c>
      <c r="BZ200" s="5" t="s">
        <v>395</v>
      </c>
      <c r="CA200" s="5" t="s">
        <v>395</v>
      </c>
      <c r="CB200" s="5" t="s">
        <v>395</v>
      </c>
      <c r="CC200" s="5" t="s">
        <v>395</v>
      </c>
      <c r="CD200" s="5" t="s">
        <v>395</v>
      </c>
      <c r="CE200" s="5" t="s">
        <v>395</v>
      </c>
      <c r="CF200" s="5" t="s">
        <v>395</v>
      </c>
      <c r="CG200" s="5" t="s">
        <v>395</v>
      </c>
      <c r="CH200" s="5" t="s">
        <v>395</v>
      </c>
      <c r="CI200" s="5" t="s">
        <v>395</v>
      </c>
      <c r="CJ200" s="5" t="s">
        <v>395</v>
      </c>
      <c r="CK200" s="5" t="s">
        <v>395</v>
      </c>
      <c r="CL200" s="5" t="s">
        <v>395</v>
      </c>
      <c r="CM200" s="5" t="s">
        <v>395</v>
      </c>
      <c r="CN200" s="5" t="s">
        <v>395</v>
      </c>
      <c r="CO200" s="5" t="s">
        <v>395</v>
      </c>
      <c r="CP200" s="5" t="s">
        <v>395</v>
      </c>
      <c r="CQ200" s="5" t="s">
        <v>395</v>
      </c>
      <c r="CR200" s="5" t="s">
        <v>395</v>
      </c>
      <c r="CS200" s="5" t="s">
        <v>395</v>
      </c>
      <c r="CT200" s="5" t="s">
        <v>395</v>
      </c>
      <c r="CU200" s="5" t="s">
        <v>395</v>
      </c>
      <c r="CV200" s="5" t="s">
        <v>395</v>
      </c>
      <c r="CW200" s="5" t="s">
        <v>395</v>
      </c>
      <c r="CX200" s="5" t="s">
        <v>395</v>
      </c>
      <c r="CY200" s="252" t="s">
        <v>395</v>
      </c>
    </row>
    <row r="201" spans="1:103" x14ac:dyDescent="0.3">
      <c r="A201" s="31" t="s">
        <v>21</v>
      </c>
      <c r="B201" s="52" t="s">
        <v>21</v>
      </c>
      <c r="C201" s="19" t="s">
        <v>20</v>
      </c>
      <c r="D201" s="19" t="s">
        <v>125</v>
      </c>
      <c r="F201" s="37"/>
      <c r="G201" s="76">
        <v>40433</v>
      </c>
      <c r="H201" s="34">
        <v>2010</v>
      </c>
      <c r="I201" s="127" t="s">
        <v>3</v>
      </c>
      <c r="J201" s="127" t="s">
        <v>114</v>
      </c>
      <c r="K201" s="251">
        <v>0.51</v>
      </c>
      <c r="L201" s="5" t="s">
        <v>395</v>
      </c>
      <c r="M201" s="35">
        <f>0.5*0.12</f>
        <v>0.06</v>
      </c>
      <c r="N201" s="35">
        <v>0.25</v>
      </c>
      <c r="O201" s="35">
        <v>2.7</v>
      </c>
      <c r="P201" s="35">
        <v>2.2999999999999998</v>
      </c>
      <c r="Q201" s="35">
        <v>9.9</v>
      </c>
      <c r="R201" s="35">
        <v>7.2</v>
      </c>
      <c r="S201" s="35">
        <v>3</v>
      </c>
      <c r="T201" s="5">
        <f t="shared" si="153"/>
        <v>25.41</v>
      </c>
      <c r="U201" s="5">
        <f t="shared" si="155"/>
        <v>226.56862745098042</v>
      </c>
      <c r="V201" s="35">
        <f>0.5*0.0079</f>
        <v>3.9500000000000004E-3</v>
      </c>
      <c r="W201" s="35">
        <v>0.24</v>
      </c>
      <c r="X201" s="35">
        <v>8.8999999999999996E-2</v>
      </c>
      <c r="Y201" s="35">
        <v>0.12</v>
      </c>
      <c r="Z201" s="5" t="s">
        <v>395</v>
      </c>
      <c r="AA201" s="35">
        <v>3.6999999999999998E-2</v>
      </c>
      <c r="AB201" s="35">
        <v>1.4E-2</v>
      </c>
      <c r="AC201" s="24" t="s">
        <v>395</v>
      </c>
      <c r="AD201" s="5" t="s">
        <v>395</v>
      </c>
      <c r="AE201" s="5">
        <f t="shared" si="149"/>
        <v>0.50395000000000001</v>
      </c>
      <c r="AF201" s="35">
        <f t="shared" si="156"/>
        <v>0.25</v>
      </c>
      <c r="AG201" s="250" t="s">
        <v>395</v>
      </c>
      <c r="AH201" s="25">
        <f t="shared" si="145"/>
        <v>32.393617021276597</v>
      </c>
      <c r="AI201" s="5" t="s">
        <v>395</v>
      </c>
      <c r="AJ201" s="5" t="s">
        <v>395</v>
      </c>
      <c r="AK201" s="5" t="s">
        <v>395</v>
      </c>
      <c r="AL201" s="5" t="s">
        <v>395</v>
      </c>
      <c r="AM201" s="5" t="s">
        <v>395</v>
      </c>
      <c r="AN201" s="5" t="s">
        <v>395</v>
      </c>
      <c r="AO201" s="5" t="s">
        <v>395</v>
      </c>
      <c r="AP201" s="5" t="s">
        <v>395</v>
      </c>
      <c r="AQ201" s="5" t="s">
        <v>395</v>
      </c>
      <c r="AR201" s="5" t="s">
        <v>395</v>
      </c>
      <c r="AS201" s="5" t="s">
        <v>395</v>
      </c>
      <c r="AT201" s="5" t="s">
        <v>395</v>
      </c>
      <c r="AU201" s="5" t="s">
        <v>395</v>
      </c>
      <c r="AV201" s="5" t="s">
        <v>395</v>
      </c>
      <c r="AW201" s="5" t="s">
        <v>395</v>
      </c>
      <c r="AX201" s="5" t="s">
        <v>395</v>
      </c>
      <c r="AY201" s="5" t="s">
        <v>395</v>
      </c>
      <c r="AZ201" s="5" t="s">
        <v>395</v>
      </c>
      <c r="BA201" s="5" t="s">
        <v>395</v>
      </c>
      <c r="BB201" s="5" t="s">
        <v>395</v>
      </c>
      <c r="BC201" s="94">
        <v>609</v>
      </c>
      <c r="BD201" s="5" t="s">
        <v>395</v>
      </c>
      <c r="BE201" s="5" t="s">
        <v>395</v>
      </c>
      <c r="BF201" s="5" t="s">
        <v>395</v>
      </c>
      <c r="BG201" s="5" t="s">
        <v>395</v>
      </c>
      <c r="BH201" s="5" t="s">
        <v>395</v>
      </c>
      <c r="BI201" s="5" t="s">
        <v>395</v>
      </c>
      <c r="BJ201" s="5" t="s">
        <v>395</v>
      </c>
      <c r="BK201" s="5" t="s">
        <v>395</v>
      </c>
      <c r="BL201" s="5" t="s">
        <v>395</v>
      </c>
      <c r="BM201" s="5" t="s">
        <v>395</v>
      </c>
      <c r="BN201" s="5" t="s">
        <v>395</v>
      </c>
      <c r="BO201" s="5" t="s">
        <v>395</v>
      </c>
      <c r="BP201" s="5" t="s">
        <v>395</v>
      </c>
      <c r="BQ201" s="5" t="s">
        <v>395</v>
      </c>
      <c r="BR201" s="5" t="s">
        <v>395</v>
      </c>
      <c r="BS201" s="5" t="s">
        <v>395</v>
      </c>
      <c r="BT201" s="5" t="s">
        <v>395</v>
      </c>
      <c r="BU201" s="5" t="s">
        <v>395</v>
      </c>
      <c r="BV201" s="5" t="s">
        <v>395</v>
      </c>
      <c r="BW201" s="5" t="s">
        <v>395</v>
      </c>
      <c r="BX201" s="5" t="s">
        <v>395</v>
      </c>
      <c r="BY201" s="5" t="s">
        <v>395</v>
      </c>
      <c r="BZ201" s="5" t="s">
        <v>395</v>
      </c>
      <c r="CA201" s="5" t="s">
        <v>395</v>
      </c>
      <c r="CB201" s="5" t="s">
        <v>395</v>
      </c>
      <c r="CC201" s="5" t="s">
        <v>395</v>
      </c>
      <c r="CD201" s="5" t="s">
        <v>395</v>
      </c>
      <c r="CE201" s="5" t="s">
        <v>395</v>
      </c>
      <c r="CF201" s="5" t="s">
        <v>395</v>
      </c>
      <c r="CG201" s="5" t="s">
        <v>395</v>
      </c>
      <c r="CH201" s="5" t="s">
        <v>395</v>
      </c>
      <c r="CI201" s="5" t="s">
        <v>395</v>
      </c>
      <c r="CJ201" s="5" t="s">
        <v>395</v>
      </c>
      <c r="CK201" s="5" t="s">
        <v>395</v>
      </c>
      <c r="CL201" s="5" t="s">
        <v>395</v>
      </c>
      <c r="CM201" s="5" t="s">
        <v>395</v>
      </c>
      <c r="CN201" s="5" t="s">
        <v>395</v>
      </c>
      <c r="CO201" s="5" t="s">
        <v>395</v>
      </c>
      <c r="CP201" s="5" t="s">
        <v>395</v>
      </c>
      <c r="CQ201" s="5" t="s">
        <v>395</v>
      </c>
      <c r="CR201" s="5" t="s">
        <v>395</v>
      </c>
      <c r="CS201" s="5" t="s">
        <v>395</v>
      </c>
      <c r="CT201" s="5" t="s">
        <v>395</v>
      </c>
      <c r="CU201" s="5" t="s">
        <v>395</v>
      </c>
      <c r="CV201" s="5" t="s">
        <v>395</v>
      </c>
      <c r="CW201" s="5" t="s">
        <v>395</v>
      </c>
      <c r="CX201" s="5" t="s">
        <v>395</v>
      </c>
      <c r="CY201" s="252" t="s">
        <v>395</v>
      </c>
    </row>
    <row r="202" spans="1:103" x14ac:dyDescent="0.3">
      <c r="A202" s="31" t="s">
        <v>21</v>
      </c>
      <c r="B202" s="52" t="s">
        <v>21</v>
      </c>
      <c r="C202" s="19" t="s">
        <v>20</v>
      </c>
      <c r="D202" s="19" t="s">
        <v>125</v>
      </c>
      <c r="F202" s="37"/>
      <c r="G202" s="76">
        <v>40433</v>
      </c>
      <c r="H202" s="34">
        <v>2010</v>
      </c>
      <c r="I202" s="127" t="s">
        <v>3</v>
      </c>
      <c r="J202" s="127" t="s">
        <v>114</v>
      </c>
      <c r="K202" s="251">
        <v>0.41</v>
      </c>
      <c r="L202" s="5" t="s">
        <v>395</v>
      </c>
      <c r="M202" s="35">
        <v>0.14000000000000001</v>
      </c>
      <c r="N202" s="35">
        <v>0.3</v>
      </c>
      <c r="O202" s="35">
        <v>2.1</v>
      </c>
      <c r="P202" s="35">
        <v>1.3</v>
      </c>
      <c r="Q202" s="35">
        <v>5</v>
      </c>
      <c r="R202" s="35">
        <v>4</v>
      </c>
      <c r="S202" s="35">
        <v>1.8</v>
      </c>
      <c r="T202" s="5">
        <f t="shared" si="153"/>
        <v>14.64</v>
      </c>
      <c r="U202" s="5">
        <f t="shared" si="155"/>
        <v>162.6829268292683</v>
      </c>
      <c r="V202" s="35">
        <f>0.5*0.012</f>
        <v>6.0000000000000001E-3</v>
      </c>
      <c r="W202" s="35">
        <v>0.24</v>
      </c>
      <c r="X202" s="35">
        <v>0.1</v>
      </c>
      <c r="Y202" s="35">
        <v>0.12</v>
      </c>
      <c r="Z202" s="5" t="s">
        <v>395</v>
      </c>
      <c r="AA202" s="35">
        <v>3.1E-2</v>
      </c>
      <c r="AB202" s="35">
        <v>1.6E-2</v>
      </c>
      <c r="AC202" s="24" t="s">
        <v>395</v>
      </c>
      <c r="AD202" s="5" t="s">
        <v>395</v>
      </c>
      <c r="AE202" s="5">
        <f t="shared" si="149"/>
        <v>0.51300000000000001</v>
      </c>
      <c r="AF202" s="35">
        <f t="shared" si="156"/>
        <v>0.25</v>
      </c>
      <c r="AG202" s="250" t="s">
        <v>395</v>
      </c>
      <c r="AH202" s="25">
        <f t="shared" si="145"/>
        <v>20.319148936170212</v>
      </c>
      <c r="AI202" s="5" t="s">
        <v>395</v>
      </c>
      <c r="AJ202" s="5" t="s">
        <v>395</v>
      </c>
      <c r="AK202" s="5" t="s">
        <v>395</v>
      </c>
      <c r="AL202" s="5" t="s">
        <v>395</v>
      </c>
      <c r="AM202" s="5" t="s">
        <v>395</v>
      </c>
      <c r="AN202" s="5" t="s">
        <v>395</v>
      </c>
      <c r="AO202" s="5" t="s">
        <v>395</v>
      </c>
      <c r="AP202" s="5" t="s">
        <v>395</v>
      </c>
      <c r="AQ202" s="5" t="s">
        <v>395</v>
      </c>
      <c r="AR202" s="5" t="s">
        <v>395</v>
      </c>
      <c r="AS202" s="5" t="s">
        <v>395</v>
      </c>
      <c r="AT202" s="5" t="s">
        <v>395</v>
      </c>
      <c r="AU202" s="5" t="s">
        <v>395</v>
      </c>
      <c r="AV202" s="5" t="s">
        <v>395</v>
      </c>
      <c r="AW202" s="5" t="s">
        <v>395</v>
      </c>
      <c r="AX202" s="5" t="s">
        <v>395</v>
      </c>
      <c r="AY202" s="5" t="s">
        <v>395</v>
      </c>
      <c r="AZ202" s="5" t="s">
        <v>395</v>
      </c>
      <c r="BA202" s="5" t="s">
        <v>395</v>
      </c>
      <c r="BB202" s="5" t="s">
        <v>395</v>
      </c>
      <c r="BC202" s="94">
        <v>382</v>
      </c>
      <c r="BD202" s="5" t="s">
        <v>395</v>
      </c>
      <c r="BE202" s="5" t="s">
        <v>395</v>
      </c>
      <c r="BF202" s="5" t="s">
        <v>395</v>
      </c>
      <c r="BG202" s="5" t="s">
        <v>395</v>
      </c>
      <c r="BH202" s="5" t="s">
        <v>395</v>
      </c>
      <c r="BI202" s="5" t="s">
        <v>395</v>
      </c>
      <c r="BJ202" s="5" t="s">
        <v>395</v>
      </c>
      <c r="BK202" s="5" t="s">
        <v>395</v>
      </c>
      <c r="BL202" s="5" t="s">
        <v>395</v>
      </c>
      <c r="BM202" s="5" t="s">
        <v>395</v>
      </c>
      <c r="BN202" s="5" t="s">
        <v>395</v>
      </c>
      <c r="BO202" s="5" t="s">
        <v>395</v>
      </c>
      <c r="BP202" s="5" t="s">
        <v>395</v>
      </c>
      <c r="BQ202" s="5" t="s">
        <v>395</v>
      </c>
      <c r="BR202" s="5" t="s">
        <v>395</v>
      </c>
      <c r="BS202" s="5" t="s">
        <v>395</v>
      </c>
      <c r="BT202" s="5" t="s">
        <v>395</v>
      </c>
      <c r="BU202" s="5" t="s">
        <v>395</v>
      </c>
      <c r="BV202" s="5" t="s">
        <v>395</v>
      </c>
      <c r="BW202" s="5" t="s">
        <v>395</v>
      </c>
      <c r="BX202" s="5" t="s">
        <v>395</v>
      </c>
      <c r="BY202" s="5" t="s">
        <v>395</v>
      </c>
      <c r="BZ202" s="5" t="s">
        <v>395</v>
      </c>
      <c r="CA202" s="5" t="s">
        <v>395</v>
      </c>
      <c r="CB202" s="5" t="s">
        <v>395</v>
      </c>
      <c r="CC202" s="5" t="s">
        <v>395</v>
      </c>
      <c r="CD202" s="5" t="s">
        <v>395</v>
      </c>
      <c r="CE202" s="5" t="s">
        <v>395</v>
      </c>
      <c r="CF202" s="5" t="s">
        <v>395</v>
      </c>
      <c r="CG202" s="5" t="s">
        <v>395</v>
      </c>
      <c r="CH202" s="5" t="s">
        <v>395</v>
      </c>
      <c r="CI202" s="5" t="s">
        <v>395</v>
      </c>
      <c r="CJ202" s="5" t="s">
        <v>395</v>
      </c>
      <c r="CK202" s="5" t="s">
        <v>395</v>
      </c>
      <c r="CL202" s="5" t="s">
        <v>395</v>
      </c>
      <c r="CM202" s="5" t="s">
        <v>395</v>
      </c>
      <c r="CN202" s="5" t="s">
        <v>395</v>
      </c>
      <c r="CO202" s="5" t="s">
        <v>395</v>
      </c>
      <c r="CP202" s="5" t="s">
        <v>395</v>
      </c>
      <c r="CQ202" s="5" t="s">
        <v>395</v>
      </c>
      <c r="CR202" s="5" t="s">
        <v>395</v>
      </c>
      <c r="CS202" s="5" t="s">
        <v>395</v>
      </c>
      <c r="CT202" s="5" t="s">
        <v>395</v>
      </c>
      <c r="CU202" s="5" t="s">
        <v>395</v>
      </c>
      <c r="CV202" s="5" t="s">
        <v>395</v>
      </c>
      <c r="CW202" s="5" t="s">
        <v>395</v>
      </c>
      <c r="CX202" s="5" t="s">
        <v>395</v>
      </c>
      <c r="CY202" s="252" t="s">
        <v>395</v>
      </c>
    </row>
    <row r="203" spans="1:103" x14ac:dyDescent="0.3">
      <c r="A203" s="31" t="s">
        <v>21</v>
      </c>
      <c r="B203" s="52" t="s">
        <v>21</v>
      </c>
      <c r="C203" s="19" t="s">
        <v>20</v>
      </c>
      <c r="D203" s="19" t="s">
        <v>125</v>
      </c>
      <c r="F203" s="37"/>
      <c r="G203" s="76">
        <v>40433</v>
      </c>
      <c r="H203" s="34">
        <v>2010</v>
      </c>
      <c r="I203" s="127" t="s">
        <v>3</v>
      </c>
      <c r="J203" s="127" t="s">
        <v>114</v>
      </c>
      <c r="K203" s="251">
        <v>0.3</v>
      </c>
      <c r="L203" s="5" t="s">
        <v>395</v>
      </c>
      <c r="M203" s="35">
        <v>0.2</v>
      </c>
      <c r="N203" s="35">
        <v>0.33</v>
      </c>
      <c r="O203" s="35">
        <v>2.9</v>
      </c>
      <c r="P203" s="35">
        <v>2.7</v>
      </c>
      <c r="Q203" s="35">
        <v>12</v>
      </c>
      <c r="R203" s="35">
        <v>7.3</v>
      </c>
      <c r="S203" s="35">
        <v>3.5</v>
      </c>
      <c r="T203" s="5">
        <f t="shared" si="153"/>
        <v>28.93</v>
      </c>
      <c r="U203" s="5">
        <f t="shared" si="155"/>
        <v>437.16666666666669</v>
      </c>
      <c r="V203" s="35">
        <f>0.5*0.008</f>
        <v>4.0000000000000001E-3</v>
      </c>
      <c r="W203" s="35">
        <v>0.19</v>
      </c>
      <c r="X203" s="35">
        <v>6.9000000000000006E-2</v>
      </c>
      <c r="Y203" s="35">
        <v>0.14000000000000001</v>
      </c>
      <c r="Z203" s="5" t="s">
        <v>395</v>
      </c>
      <c r="AA203" s="35">
        <v>2.4E-2</v>
      </c>
      <c r="AB203" s="35">
        <v>1.4999999999999999E-2</v>
      </c>
      <c r="AC203" s="24" t="s">
        <v>395</v>
      </c>
      <c r="AD203" s="5" t="s">
        <v>395</v>
      </c>
      <c r="AE203" s="5">
        <f t="shared" si="149"/>
        <v>0.44200000000000006</v>
      </c>
      <c r="AF203" s="35">
        <f t="shared" si="156"/>
        <v>0.25</v>
      </c>
      <c r="AG203" s="250" t="s">
        <v>395</v>
      </c>
      <c r="AH203" s="25">
        <f t="shared" si="145"/>
        <v>23.723404255319149</v>
      </c>
      <c r="AI203" s="5" t="s">
        <v>395</v>
      </c>
      <c r="AJ203" s="5" t="s">
        <v>395</v>
      </c>
      <c r="AK203" s="5" t="s">
        <v>395</v>
      </c>
      <c r="AL203" s="5" t="s">
        <v>395</v>
      </c>
      <c r="AM203" s="5" t="s">
        <v>395</v>
      </c>
      <c r="AN203" s="5" t="s">
        <v>395</v>
      </c>
      <c r="AO203" s="5" t="s">
        <v>395</v>
      </c>
      <c r="AP203" s="5" t="s">
        <v>395</v>
      </c>
      <c r="AQ203" s="5" t="s">
        <v>395</v>
      </c>
      <c r="AR203" s="5" t="s">
        <v>395</v>
      </c>
      <c r="AS203" s="5" t="s">
        <v>395</v>
      </c>
      <c r="AT203" s="5" t="s">
        <v>395</v>
      </c>
      <c r="AU203" s="5" t="s">
        <v>395</v>
      </c>
      <c r="AV203" s="5" t="s">
        <v>395</v>
      </c>
      <c r="AW203" s="5" t="s">
        <v>395</v>
      </c>
      <c r="AX203" s="5" t="s">
        <v>395</v>
      </c>
      <c r="AY203" s="5" t="s">
        <v>395</v>
      </c>
      <c r="AZ203" s="5" t="s">
        <v>395</v>
      </c>
      <c r="BA203" s="5" t="s">
        <v>395</v>
      </c>
      <c r="BB203" s="5" t="s">
        <v>395</v>
      </c>
      <c r="BC203" s="94">
        <v>446</v>
      </c>
      <c r="BD203" s="5" t="s">
        <v>395</v>
      </c>
      <c r="BE203" s="5" t="s">
        <v>395</v>
      </c>
      <c r="BF203" s="5" t="s">
        <v>395</v>
      </c>
      <c r="BG203" s="5" t="s">
        <v>395</v>
      </c>
      <c r="BH203" s="5" t="s">
        <v>395</v>
      </c>
      <c r="BI203" s="5" t="s">
        <v>395</v>
      </c>
      <c r="BJ203" s="5" t="s">
        <v>395</v>
      </c>
      <c r="BK203" s="5" t="s">
        <v>395</v>
      </c>
      <c r="BL203" s="5" t="s">
        <v>395</v>
      </c>
      <c r="BM203" s="5" t="s">
        <v>395</v>
      </c>
      <c r="BN203" s="5" t="s">
        <v>395</v>
      </c>
      <c r="BO203" s="5" t="s">
        <v>395</v>
      </c>
      <c r="BP203" s="5" t="s">
        <v>395</v>
      </c>
      <c r="BQ203" s="5" t="s">
        <v>395</v>
      </c>
      <c r="BR203" s="5" t="s">
        <v>395</v>
      </c>
      <c r="BS203" s="5" t="s">
        <v>395</v>
      </c>
      <c r="BT203" s="5" t="s">
        <v>395</v>
      </c>
      <c r="BU203" s="5" t="s">
        <v>395</v>
      </c>
      <c r="BV203" s="5" t="s">
        <v>395</v>
      </c>
      <c r="BW203" s="5" t="s">
        <v>395</v>
      </c>
      <c r="BX203" s="5" t="s">
        <v>395</v>
      </c>
      <c r="BY203" s="5" t="s">
        <v>395</v>
      </c>
      <c r="BZ203" s="5" t="s">
        <v>395</v>
      </c>
      <c r="CA203" s="5" t="s">
        <v>395</v>
      </c>
      <c r="CB203" s="5" t="s">
        <v>395</v>
      </c>
      <c r="CC203" s="5" t="s">
        <v>395</v>
      </c>
      <c r="CD203" s="5" t="s">
        <v>395</v>
      </c>
      <c r="CE203" s="5" t="s">
        <v>395</v>
      </c>
      <c r="CF203" s="5" t="s">
        <v>395</v>
      </c>
      <c r="CG203" s="5" t="s">
        <v>395</v>
      </c>
      <c r="CH203" s="5" t="s">
        <v>395</v>
      </c>
      <c r="CI203" s="5" t="s">
        <v>395</v>
      </c>
      <c r="CJ203" s="5" t="s">
        <v>395</v>
      </c>
      <c r="CK203" s="5" t="s">
        <v>395</v>
      </c>
      <c r="CL203" s="5" t="s">
        <v>395</v>
      </c>
      <c r="CM203" s="5" t="s">
        <v>395</v>
      </c>
      <c r="CN203" s="5" t="s">
        <v>395</v>
      </c>
      <c r="CO203" s="5" t="s">
        <v>395</v>
      </c>
      <c r="CP203" s="5" t="s">
        <v>395</v>
      </c>
      <c r="CQ203" s="5" t="s">
        <v>395</v>
      </c>
      <c r="CR203" s="5" t="s">
        <v>395</v>
      </c>
      <c r="CS203" s="5" t="s">
        <v>395</v>
      </c>
      <c r="CT203" s="5" t="s">
        <v>395</v>
      </c>
      <c r="CU203" s="5" t="s">
        <v>395</v>
      </c>
      <c r="CV203" s="5" t="s">
        <v>395</v>
      </c>
      <c r="CW203" s="5" t="s">
        <v>395</v>
      </c>
      <c r="CX203" s="5" t="s">
        <v>395</v>
      </c>
      <c r="CY203" s="252" t="s">
        <v>395</v>
      </c>
    </row>
    <row r="204" spans="1:103" x14ac:dyDescent="0.3">
      <c r="A204" s="31" t="s">
        <v>21</v>
      </c>
      <c r="B204" s="52" t="s">
        <v>21</v>
      </c>
      <c r="C204" s="19" t="s">
        <v>20</v>
      </c>
      <c r="D204" s="19" t="s">
        <v>125</v>
      </c>
      <c r="F204" s="37"/>
      <c r="G204" s="76">
        <v>40433</v>
      </c>
      <c r="H204" s="34">
        <v>2010</v>
      </c>
      <c r="I204" s="127" t="s">
        <v>3</v>
      </c>
      <c r="J204" s="127" t="s">
        <v>114</v>
      </c>
      <c r="K204" s="251">
        <v>0.34</v>
      </c>
      <c r="L204" s="5" t="s">
        <v>395</v>
      </c>
      <c r="M204" s="35">
        <v>0.16</v>
      </c>
      <c r="N204" s="35">
        <v>0.35</v>
      </c>
      <c r="O204" s="35">
        <v>1.7</v>
      </c>
      <c r="P204" s="35">
        <v>1.5</v>
      </c>
      <c r="Q204" s="35">
        <v>6.9</v>
      </c>
      <c r="R204" s="35">
        <v>4</v>
      </c>
      <c r="S204" s="35">
        <v>2.2000000000000002</v>
      </c>
      <c r="T204" s="5">
        <f t="shared" si="153"/>
        <v>16.809999999999999</v>
      </c>
      <c r="U204" s="5">
        <f t="shared" si="155"/>
        <v>225.14705882352939</v>
      </c>
      <c r="V204" s="35">
        <f>0.5*0.013</f>
        <v>6.4999999999999997E-3</v>
      </c>
      <c r="W204" s="35">
        <v>0.23</v>
      </c>
      <c r="X204" s="35">
        <v>7.3999999999999996E-2</v>
      </c>
      <c r="Y204" s="35">
        <v>0.12</v>
      </c>
      <c r="Z204" s="5" t="s">
        <v>395</v>
      </c>
      <c r="AA204" s="35">
        <v>2.7E-2</v>
      </c>
      <c r="AB204" s="35">
        <v>1.4E-2</v>
      </c>
      <c r="AC204" s="24" t="s">
        <v>395</v>
      </c>
      <c r="AD204" s="5" t="s">
        <v>395</v>
      </c>
      <c r="AE204" s="5">
        <f t="shared" si="149"/>
        <v>0.47150000000000009</v>
      </c>
      <c r="AF204" s="35">
        <f t="shared" si="156"/>
        <v>0.25</v>
      </c>
      <c r="AG204" s="250" t="s">
        <v>395</v>
      </c>
      <c r="AH204" s="25">
        <f t="shared" si="145"/>
        <v>20.212765957446809</v>
      </c>
      <c r="AI204" s="5" t="s">
        <v>395</v>
      </c>
      <c r="AJ204" s="5" t="s">
        <v>395</v>
      </c>
      <c r="AK204" s="5" t="s">
        <v>395</v>
      </c>
      <c r="AL204" s="5" t="s">
        <v>395</v>
      </c>
      <c r="AM204" s="5" t="s">
        <v>395</v>
      </c>
      <c r="AN204" s="5" t="s">
        <v>395</v>
      </c>
      <c r="AO204" s="5" t="s">
        <v>395</v>
      </c>
      <c r="AP204" s="5" t="s">
        <v>395</v>
      </c>
      <c r="AQ204" s="5" t="s">
        <v>395</v>
      </c>
      <c r="AR204" s="5" t="s">
        <v>395</v>
      </c>
      <c r="AS204" s="5" t="s">
        <v>395</v>
      </c>
      <c r="AT204" s="5" t="s">
        <v>395</v>
      </c>
      <c r="AU204" s="5" t="s">
        <v>395</v>
      </c>
      <c r="AV204" s="5" t="s">
        <v>395</v>
      </c>
      <c r="AW204" s="5" t="s">
        <v>395</v>
      </c>
      <c r="AX204" s="5" t="s">
        <v>395</v>
      </c>
      <c r="AY204" s="5" t="s">
        <v>395</v>
      </c>
      <c r="AZ204" s="5" t="s">
        <v>395</v>
      </c>
      <c r="BA204" s="5" t="s">
        <v>395</v>
      </c>
      <c r="BB204" s="5" t="s">
        <v>395</v>
      </c>
      <c r="BC204" s="94">
        <v>380</v>
      </c>
      <c r="BD204" s="5" t="s">
        <v>395</v>
      </c>
      <c r="BE204" s="5" t="s">
        <v>395</v>
      </c>
      <c r="BF204" s="5" t="s">
        <v>395</v>
      </c>
      <c r="BG204" s="5" t="s">
        <v>395</v>
      </c>
      <c r="BH204" s="5" t="s">
        <v>395</v>
      </c>
      <c r="BI204" s="5" t="s">
        <v>395</v>
      </c>
      <c r="BJ204" s="5" t="s">
        <v>395</v>
      </c>
      <c r="BK204" s="5" t="s">
        <v>395</v>
      </c>
      <c r="BL204" s="5" t="s">
        <v>395</v>
      </c>
      <c r="BM204" s="5" t="s">
        <v>395</v>
      </c>
      <c r="BN204" s="5" t="s">
        <v>395</v>
      </c>
      <c r="BO204" s="5" t="s">
        <v>395</v>
      </c>
      <c r="BP204" s="5" t="s">
        <v>395</v>
      </c>
      <c r="BQ204" s="5" t="s">
        <v>395</v>
      </c>
      <c r="BR204" s="5" t="s">
        <v>395</v>
      </c>
      <c r="BS204" s="5" t="s">
        <v>395</v>
      </c>
      <c r="BT204" s="5" t="s">
        <v>395</v>
      </c>
      <c r="BU204" s="5" t="s">
        <v>395</v>
      </c>
      <c r="BV204" s="5" t="s">
        <v>395</v>
      </c>
      <c r="BW204" s="5" t="s">
        <v>395</v>
      </c>
      <c r="BX204" s="5" t="s">
        <v>395</v>
      </c>
      <c r="BY204" s="5" t="s">
        <v>395</v>
      </c>
      <c r="BZ204" s="5" t="s">
        <v>395</v>
      </c>
      <c r="CA204" s="5" t="s">
        <v>395</v>
      </c>
      <c r="CB204" s="5" t="s">
        <v>395</v>
      </c>
      <c r="CC204" s="5" t="s">
        <v>395</v>
      </c>
      <c r="CD204" s="5" t="s">
        <v>395</v>
      </c>
      <c r="CE204" s="5" t="s">
        <v>395</v>
      </c>
      <c r="CF204" s="5" t="s">
        <v>395</v>
      </c>
      <c r="CG204" s="5" t="s">
        <v>395</v>
      </c>
      <c r="CH204" s="5" t="s">
        <v>395</v>
      </c>
      <c r="CI204" s="5" t="s">
        <v>395</v>
      </c>
      <c r="CJ204" s="5" t="s">
        <v>395</v>
      </c>
      <c r="CK204" s="5" t="s">
        <v>395</v>
      </c>
      <c r="CL204" s="5" t="s">
        <v>395</v>
      </c>
      <c r="CM204" s="5" t="s">
        <v>395</v>
      </c>
      <c r="CN204" s="5" t="s">
        <v>395</v>
      </c>
      <c r="CO204" s="5" t="s">
        <v>395</v>
      </c>
      <c r="CP204" s="5" t="s">
        <v>395</v>
      </c>
      <c r="CQ204" s="5" t="s">
        <v>395</v>
      </c>
      <c r="CR204" s="5" t="s">
        <v>395</v>
      </c>
      <c r="CS204" s="5" t="s">
        <v>395</v>
      </c>
      <c r="CT204" s="5" t="s">
        <v>395</v>
      </c>
      <c r="CU204" s="5" t="s">
        <v>395</v>
      </c>
      <c r="CV204" s="5" t="s">
        <v>395</v>
      </c>
      <c r="CW204" s="5" t="s">
        <v>395</v>
      </c>
      <c r="CX204" s="5" t="s">
        <v>395</v>
      </c>
      <c r="CY204" s="252" t="s">
        <v>395</v>
      </c>
    </row>
    <row r="205" spans="1:103" x14ac:dyDescent="0.3">
      <c r="A205" s="31" t="s">
        <v>112</v>
      </c>
      <c r="B205" s="52" t="s">
        <v>24</v>
      </c>
      <c r="C205" s="19" t="s">
        <v>20</v>
      </c>
      <c r="D205" s="19" t="s">
        <v>125</v>
      </c>
      <c r="F205" s="37"/>
      <c r="G205" s="76">
        <v>40418</v>
      </c>
      <c r="H205" s="34">
        <v>2010</v>
      </c>
      <c r="I205" s="127" t="s">
        <v>3</v>
      </c>
      <c r="J205" s="127" t="s">
        <v>114</v>
      </c>
      <c r="K205" s="251">
        <v>0.45</v>
      </c>
      <c r="L205" s="5" t="s">
        <v>395</v>
      </c>
      <c r="M205" s="35">
        <v>4.5999999999999996</v>
      </c>
      <c r="N205" s="35">
        <v>8.9</v>
      </c>
      <c r="O205" s="35">
        <v>18</v>
      </c>
      <c r="P205" s="35">
        <v>20</v>
      </c>
      <c r="Q205" s="35">
        <v>32</v>
      </c>
      <c r="R205" s="35">
        <v>20</v>
      </c>
      <c r="S205" s="35">
        <v>9.4</v>
      </c>
      <c r="T205" s="5">
        <f t="shared" si="153"/>
        <v>112.9</v>
      </c>
      <c r="U205" s="5">
        <f t="shared" si="155"/>
        <v>1032.2222222222222</v>
      </c>
      <c r="V205" s="35">
        <f>0.5*0.008</f>
        <v>4.0000000000000001E-3</v>
      </c>
      <c r="W205" s="35">
        <v>0.77</v>
      </c>
      <c r="X205" s="35">
        <v>0.2</v>
      </c>
      <c r="Y205" s="35">
        <v>0.11</v>
      </c>
      <c r="Z205" s="5" t="s">
        <v>395</v>
      </c>
      <c r="AA205" s="35">
        <v>4.4999999999999998E-2</v>
      </c>
      <c r="AB205" s="35">
        <v>2.1000000000000001E-2</v>
      </c>
      <c r="AC205" s="24" t="s">
        <v>395</v>
      </c>
      <c r="AD205" s="5" t="s">
        <v>395</v>
      </c>
      <c r="AE205" s="5">
        <f t="shared" si="149"/>
        <v>1.1499999999999999</v>
      </c>
      <c r="AF205" s="5">
        <f t="shared" si="156"/>
        <v>0.25</v>
      </c>
      <c r="AG205" s="250" t="s">
        <v>395</v>
      </c>
      <c r="AH205" s="25">
        <f t="shared" si="145"/>
        <v>39.734042553191486</v>
      </c>
      <c r="AI205" s="5" t="s">
        <v>395</v>
      </c>
      <c r="AJ205" s="5" t="s">
        <v>395</v>
      </c>
      <c r="AK205" s="5" t="s">
        <v>395</v>
      </c>
      <c r="AL205" s="5" t="s">
        <v>395</v>
      </c>
      <c r="AM205" s="5" t="s">
        <v>395</v>
      </c>
      <c r="AN205" s="5" t="s">
        <v>395</v>
      </c>
      <c r="AO205" s="5" t="s">
        <v>395</v>
      </c>
      <c r="AP205" s="5" t="s">
        <v>395</v>
      </c>
      <c r="AQ205" s="5" t="s">
        <v>395</v>
      </c>
      <c r="AR205" s="5" t="s">
        <v>395</v>
      </c>
      <c r="AS205" s="5" t="s">
        <v>395</v>
      </c>
      <c r="AT205" s="5" t="s">
        <v>395</v>
      </c>
      <c r="AU205" s="5" t="s">
        <v>395</v>
      </c>
      <c r="AV205" s="5" t="s">
        <v>395</v>
      </c>
      <c r="AW205" s="5" t="s">
        <v>395</v>
      </c>
      <c r="AX205" s="5" t="s">
        <v>395</v>
      </c>
      <c r="AY205" s="5" t="s">
        <v>395</v>
      </c>
      <c r="AZ205" s="5" t="s">
        <v>395</v>
      </c>
      <c r="BA205" s="5" t="s">
        <v>395</v>
      </c>
      <c r="BB205" s="5" t="s">
        <v>395</v>
      </c>
      <c r="BC205" s="94">
        <v>747</v>
      </c>
      <c r="BD205" s="5" t="s">
        <v>395</v>
      </c>
      <c r="BE205" s="5" t="s">
        <v>395</v>
      </c>
      <c r="BF205" s="5" t="s">
        <v>395</v>
      </c>
      <c r="BG205" s="5" t="s">
        <v>395</v>
      </c>
      <c r="BH205" s="5" t="s">
        <v>395</v>
      </c>
      <c r="BI205" s="5" t="s">
        <v>395</v>
      </c>
      <c r="BJ205" s="5" t="s">
        <v>395</v>
      </c>
      <c r="BK205" s="5" t="s">
        <v>395</v>
      </c>
      <c r="BL205" s="5" t="s">
        <v>395</v>
      </c>
      <c r="BM205" s="5" t="s">
        <v>395</v>
      </c>
      <c r="BN205" s="5" t="s">
        <v>395</v>
      </c>
      <c r="BO205" s="5" t="s">
        <v>395</v>
      </c>
      <c r="BP205" s="5" t="s">
        <v>395</v>
      </c>
      <c r="BQ205" s="5" t="s">
        <v>395</v>
      </c>
      <c r="BR205" s="5" t="s">
        <v>395</v>
      </c>
      <c r="BS205" s="5" t="s">
        <v>395</v>
      </c>
      <c r="BT205" s="5" t="s">
        <v>395</v>
      </c>
      <c r="BU205" s="5" t="s">
        <v>395</v>
      </c>
      <c r="BV205" s="5" t="s">
        <v>395</v>
      </c>
      <c r="BW205" s="5" t="s">
        <v>395</v>
      </c>
      <c r="BX205" s="5" t="s">
        <v>395</v>
      </c>
      <c r="BY205" s="5" t="s">
        <v>395</v>
      </c>
      <c r="BZ205" s="5" t="s">
        <v>395</v>
      </c>
      <c r="CA205" s="5" t="s">
        <v>395</v>
      </c>
      <c r="CB205" s="5" t="s">
        <v>395</v>
      </c>
      <c r="CC205" s="5" t="s">
        <v>395</v>
      </c>
      <c r="CD205" s="5" t="s">
        <v>395</v>
      </c>
      <c r="CE205" s="5" t="s">
        <v>395</v>
      </c>
      <c r="CF205" s="5" t="s">
        <v>395</v>
      </c>
      <c r="CG205" s="5" t="s">
        <v>395</v>
      </c>
      <c r="CH205" s="5" t="s">
        <v>395</v>
      </c>
      <c r="CI205" s="5" t="s">
        <v>395</v>
      </c>
      <c r="CJ205" s="5" t="s">
        <v>395</v>
      </c>
      <c r="CK205" s="5" t="s">
        <v>395</v>
      </c>
      <c r="CL205" s="5" t="s">
        <v>395</v>
      </c>
      <c r="CM205" s="5" t="s">
        <v>395</v>
      </c>
      <c r="CN205" s="5" t="s">
        <v>395</v>
      </c>
      <c r="CO205" s="5" t="s">
        <v>395</v>
      </c>
      <c r="CP205" s="5" t="s">
        <v>395</v>
      </c>
      <c r="CQ205" s="5" t="s">
        <v>395</v>
      </c>
      <c r="CR205" s="5" t="s">
        <v>395</v>
      </c>
      <c r="CS205" s="5" t="s">
        <v>395</v>
      </c>
      <c r="CT205" s="5" t="s">
        <v>395</v>
      </c>
      <c r="CU205" s="5" t="s">
        <v>395</v>
      </c>
      <c r="CV205" s="5" t="s">
        <v>395</v>
      </c>
      <c r="CW205" s="5" t="s">
        <v>395</v>
      </c>
      <c r="CX205" s="5" t="s">
        <v>395</v>
      </c>
      <c r="CY205" s="252" t="s">
        <v>395</v>
      </c>
    </row>
    <row r="206" spans="1:103" x14ac:dyDescent="0.3">
      <c r="A206" s="31" t="s">
        <v>112</v>
      </c>
      <c r="B206" s="52" t="s">
        <v>24</v>
      </c>
      <c r="C206" s="19" t="s">
        <v>20</v>
      </c>
      <c r="D206" s="19" t="s">
        <v>125</v>
      </c>
      <c r="F206" s="38"/>
      <c r="G206" s="76">
        <v>40418</v>
      </c>
      <c r="H206" s="34">
        <v>2010</v>
      </c>
      <c r="I206" s="127" t="s">
        <v>33</v>
      </c>
      <c r="J206" s="127" t="s">
        <v>114</v>
      </c>
      <c r="K206" s="251">
        <v>0.35</v>
      </c>
      <c r="L206" s="5" t="s">
        <v>395</v>
      </c>
      <c r="M206" s="35">
        <v>0.99</v>
      </c>
      <c r="N206" s="35">
        <v>3.6</v>
      </c>
      <c r="O206" s="35">
        <v>9.5</v>
      </c>
      <c r="P206" s="35">
        <v>8.1</v>
      </c>
      <c r="Q206" s="35">
        <v>16</v>
      </c>
      <c r="R206" s="35">
        <v>10</v>
      </c>
      <c r="S206" s="35">
        <v>5.3</v>
      </c>
      <c r="T206" s="5">
        <f t="shared" si="153"/>
        <v>53.489999999999995</v>
      </c>
      <c r="U206" s="5">
        <f t="shared" si="155"/>
        <v>648.42857142857144</v>
      </c>
      <c r="V206" s="35">
        <f>0.5*0.012</f>
        <v>6.0000000000000001E-3</v>
      </c>
      <c r="W206" s="35">
        <v>0.4</v>
      </c>
      <c r="X206" s="35">
        <v>0.11</v>
      </c>
      <c r="Y206" s="35">
        <v>9.2999999999999999E-2</v>
      </c>
      <c r="Z206" s="5" t="s">
        <v>395</v>
      </c>
      <c r="AA206" s="35">
        <v>2.9000000000000001E-2</v>
      </c>
      <c r="AB206" s="35">
        <v>1.6E-2</v>
      </c>
      <c r="AC206" s="24" t="s">
        <v>395</v>
      </c>
      <c r="AD206" s="5" t="s">
        <v>395</v>
      </c>
      <c r="AE206" s="5">
        <f t="shared" si="149"/>
        <v>0.65400000000000003</v>
      </c>
      <c r="AF206" s="35">
        <v>1.2</v>
      </c>
      <c r="AG206" s="250" t="s">
        <v>395</v>
      </c>
      <c r="AH206" s="25">
        <f t="shared" si="145"/>
        <v>25.904255319148934</v>
      </c>
      <c r="AI206" s="5" t="s">
        <v>395</v>
      </c>
      <c r="AJ206" s="5" t="s">
        <v>395</v>
      </c>
      <c r="AK206" s="5" t="s">
        <v>395</v>
      </c>
      <c r="AL206" s="5" t="s">
        <v>395</v>
      </c>
      <c r="AM206" s="5" t="s">
        <v>395</v>
      </c>
      <c r="AN206" s="5" t="s">
        <v>395</v>
      </c>
      <c r="AO206" s="5" t="s">
        <v>395</v>
      </c>
      <c r="AP206" s="5" t="s">
        <v>395</v>
      </c>
      <c r="AQ206" s="5" t="s">
        <v>395</v>
      </c>
      <c r="AR206" s="5" t="s">
        <v>395</v>
      </c>
      <c r="AS206" s="5" t="s">
        <v>395</v>
      </c>
      <c r="AT206" s="5" t="s">
        <v>395</v>
      </c>
      <c r="AU206" s="5" t="s">
        <v>395</v>
      </c>
      <c r="AV206" s="5" t="s">
        <v>395</v>
      </c>
      <c r="AW206" s="5" t="s">
        <v>395</v>
      </c>
      <c r="AX206" s="5" t="s">
        <v>395</v>
      </c>
      <c r="AY206" s="5" t="s">
        <v>395</v>
      </c>
      <c r="AZ206" s="5" t="s">
        <v>395</v>
      </c>
      <c r="BA206" s="5" t="s">
        <v>395</v>
      </c>
      <c r="BB206" s="5" t="s">
        <v>395</v>
      </c>
      <c r="BC206" s="94">
        <v>487</v>
      </c>
      <c r="BD206" s="5" t="s">
        <v>395</v>
      </c>
      <c r="BE206" s="5" t="s">
        <v>395</v>
      </c>
      <c r="BF206" s="5" t="s">
        <v>395</v>
      </c>
      <c r="BG206" s="5" t="s">
        <v>395</v>
      </c>
      <c r="BH206" s="5" t="s">
        <v>395</v>
      </c>
      <c r="BI206" s="5" t="s">
        <v>395</v>
      </c>
      <c r="BJ206" s="5" t="s">
        <v>395</v>
      </c>
      <c r="BK206" s="5" t="s">
        <v>395</v>
      </c>
      <c r="BL206" s="5" t="s">
        <v>395</v>
      </c>
      <c r="BM206" s="5" t="s">
        <v>395</v>
      </c>
      <c r="BN206" s="5" t="s">
        <v>395</v>
      </c>
      <c r="BO206" s="5" t="s">
        <v>395</v>
      </c>
      <c r="BP206" s="5" t="s">
        <v>395</v>
      </c>
      <c r="BQ206" s="5" t="s">
        <v>395</v>
      </c>
      <c r="BR206" s="5" t="s">
        <v>395</v>
      </c>
      <c r="BS206" s="5" t="s">
        <v>395</v>
      </c>
      <c r="BT206" s="5" t="s">
        <v>395</v>
      </c>
      <c r="BU206" s="5" t="s">
        <v>395</v>
      </c>
      <c r="BV206" s="5" t="s">
        <v>395</v>
      </c>
      <c r="BW206" s="5" t="s">
        <v>395</v>
      </c>
      <c r="BX206" s="5" t="s">
        <v>395</v>
      </c>
      <c r="BY206" s="5" t="s">
        <v>395</v>
      </c>
      <c r="BZ206" s="5" t="s">
        <v>395</v>
      </c>
      <c r="CA206" s="5" t="s">
        <v>395</v>
      </c>
      <c r="CB206" s="5" t="s">
        <v>395</v>
      </c>
      <c r="CC206" s="5" t="s">
        <v>395</v>
      </c>
      <c r="CD206" s="5" t="s">
        <v>395</v>
      </c>
      <c r="CE206" s="5" t="s">
        <v>395</v>
      </c>
      <c r="CF206" s="5" t="s">
        <v>395</v>
      </c>
      <c r="CG206" s="5" t="s">
        <v>395</v>
      </c>
      <c r="CH206" s="5" t="s">
        <v>395</v>
      </c>
      <c r="CI206" s="5" t="s">
        <v>395</v>
      </c>
      <c r="CJ206" s="5" t="s">
        <v>395</v>
      </c>
      <c r="CK206" s="5" t="s">
        <v>395</v>
      </c>
      <c r="CL206" s="5" t="s">
        <v>395</v>
      </c>
      <c r="CM206" s="5" t="s">
        <v>395</v>
      </c>
      <c r="CN206" s="5" t="s">
        <v>395</v>
      </c>
      <c r="CO206" s="5" t="s">
        <v>395</v>
      </c>
      <c r="CP206" s="5" t="s">
        <v>395</v>
      </c>
      <c r="CQ206" s="5" t="s">
        <v>395</v>
      </c>
      <c r="CR206" s="5" t="s">
        <v>395</v>
      </c>
      <c r="CS206" s="5" t="s">
        <v>395</v>
      </c>
      <c r="CT206" s="5" t="s">
        <v>395</v>
      </c>
      <c r="CU206" s="5" t="s">
        <v>395</v>
      </c>
      <c r="CV206" s="5" t="s">
        <v>395</v>
      </c>
      <c r="CW206" s="5" t="s">
        <v>395</v>
      </c>
      <c r="CX206" s="5" t="s">
        <v>395</v>
      </c>
      <c r="CY206" s="252" t="s">
        <v>395</v>
      </c>
    </row>
    <row r="207" spans="1:103" x14ac:dyDescent="0.3">
      <c r="A207" s="31" t="s">
        <v>112</v>
      </c>
      <c r="B207" s="52" t="s">
        <v>24</v>
      </c>
      <c r="C207" s="19" t="s">
        <v>20</v>
      </c>
      <c r="D207" s="19" t="s">
        <v>125</v>
      </c>
      <c r="F207" s="37"/>
      <c r="G207" s="76">
        <v>40418</v>
      </c>
      <c r="H207" s="34">
        <v>2010</v>
      </c>
      <c r="I207" s="127" t="s">
        <v>3</v>
      </c>
      <c r="J207" s="127" t="s">
        <v>114</v>
      </c>
      <c r="K207" s="251">
        <v>0.26</v>
      </c>
      <c r="L207" s="5" t="s">
        <v>395</v>
      </c>
      <c r="M207" s="35">
        <v>0.98</v>
      </c>
      <c r="N207" s="35">
        <v>4.3</v>
      </c>
      <c r="O207" s="35">
        <v>7</v>
      </c>
      <c r="P207" s="35">
        <v>5.8</v>
      </c>
      <c r="Q207" s="35">
        <v>9.8000000000000007</v>
      </c>
      <c r="R207" s="35">
        <v>5.8</v>
      </c>
      <c r="S207" s="35">
        <v>2.5</v>
      </c>
      <c r="T207" s="5">
        <f t="shared" si="153"/>
        <v>36.18</v>
      </c>
      <c r="U207" s="5">
        <f t="shared" si="155"/>
        <v>584.23076923076917</v>
      </c>
      <c r="V207" s="35">
        <f>0.5*0.01</f>
        <v>5.0000000000000001E-3</v>
      </c>
      <c r="W207" s="35">
        <v>0.21</v>
      </c>
      <c r="X207" s="35">
        <v>4.1000000000000002E-2</v>
      </c>
      <c r="Y207" s="35">
        <v>4.2999999999999997E-2</v>
      </c>
      <c r="Z207" s="5" t="s">
        <v>395</v>
      </c>
      <c r="AA207" s="35">
        <v>8.3000000000000001E-3</v>
      </c>
      <c r="AB207" s="35">
        <v>4.7000000000000002E-3</v>
      </c>
      <c r="AC207" s="24" t="s">
        <v>395</v>
      </c>
      <c r="AD207" s="5" t="s">
        <v>395</v>
      </c>
      <c r="AE207" s="5">
        <f t="shared" si="149"/>
        <v>0.31199999999999994</v>
      </c>
      <c r="AF207" s="35">
        <f t="shared" ref="AF207:AF212" si="157">0.5*0.5</f>
        <v>0.25</v>
      </c>
      <c r="AG207" s="250" t="s">
        <v>395</v>
      </c>
      <c r="AH207" s="25">
        <f t="shared" si="145"/>
        <v>26.702127659574469</v>
      </c>
      <c r="AI207" s="5" t="s">
        <v>395</v>
      </c>
      <c r="AJ207" s="5" t="s">
        <v>395</v>
      </c>
      <c r="AK207" s="5" t="s">
        <v>395</v>
      </c>
      <c r="AL207" s="5" t="s">
        <v>395</v>
      </c>
      <c r="AM207" s="5" t="s">
        <v>395</v>
      </c>
      <c r="AN207" s="5" t="s">
        <v>395</v>
      </c>
      <c r="AO207" s="5" t="s">
        <v>395</v>
      </c>
      <c r="AP207" s="5" t="s">
        <v>395</v>
      </c>
      <c r="AQ207" s="5" t="s">
        <v>395</v>
      </c>
      <c r="AR207" s="5" t="s">
        <v>395</v>
      </c>
      <c r="AS207" s="5" t="s">
        <v>395</v>
      </c>
      <c r="AT207" s="5" t="s">
        <v>395</v>
      </c>
      <c r="AU207" s="5" t="s">
        <v>395</v>
      </c>
      <c r="AV207" s="5" t="s">
        <v>395</v>
      </c>
      <c r="AW207" s="5" t="s">
        <v>395</v>
      </c>
      <c r="AX207" s="5" t="s">
        <v>395</v>
      </c>
      <c r="AY207" s="5" t="s">
        <v>395</v>
      </c>
      <c r="AZ207" s="5" t="s">
        <v>395</v>
      </c>
      <c r="BA207" s="5" t="s">
        <v>395</v>
      </c>
      <c r="BB207" s="5" t="s">
        <v>395</v>
      </c>
      <c r="BC207" s="94">
        <v>502</v>
      </c>
      <c r="BD207" s="5" t="s">
        <v>395</v>
      </c>
      <c r="BE207" s="5" t="s">
        <v>395</v>
      </c>
      <c r="BF207" s="5" t="s">
        <v>395</v>
      </c>
      <c r="BG207" s="5" t="s">
        <v>395</v>
      </c>
      <c r="BH207" s="5" t="s">
        <v>395</v>
      </c>
      <c r="BI207" s="5" t="s">
        <v>395</v>
      </c>
      <c r="BJ207" s="5" t="s">
        <v>395</v>
      </c>
      <c r="BK207" s="5" t="s">
        <v>395</v>
      </c>
      <c r="BL207" s="5" t="s">
        <v>395</v>
      </c>
      <c r="BM207" s="5" t="s">
        <v>395</v>
      </c>
      <c r="BN207" s="5" t="s">
        <v>395</v>
      </c>
      <c r="BO207" s="5" t="s">
        <v>395</v>
      </c>
      <c r="BP207" s="5" t="s">
        <v>395</v>
      </c>
      <c r="BQ207" s="5" t="s">
        <v>395</v>
      </c>
      <c r="BR207" s="5" t="s">
        <v>395</v>
      </c>
      <c r="BS207" s="5" t="s">
        <v>395</v>
      </c>
      <c r="BT207" s="5" t="s">
        <v>395</v>
      </c>
      <c r="BU207" s="5" t="s">
        <v>395</v>
      </c>
      <c r="BV207" s="5" t="s">
        <v>395</v>
      </c>
      <c r="BW207" s="5" t="s">
        <v>395</v>
      </c>
      <c r="BX207" s="5" t="s">
        <v>395</v>
      </c>
      <c r="BY207" s="5" t="s">
        <v>395</v>
      </c>
      <c r="BZ207" s="5" t="s">
        <v>395</v>
      </c>
      <c r="CA207" s="5" t="s">
        <v>395</v>
      </c>
      <c r="CB207" s="5" t="s">
        <v>395</v>
      </c>
      <c r="CC207" s="5" t="s">
        <v>395</v>
      </c>
      <c r="CD207" s="5" t="s">
        <v>395</v>
      </c>
      <c r="CE207" s="5" t="s">
        <v>395</v>
      </c>
      <c r="CF207" s="5" t="s">
        <v>395</v>
      </c>
      <c r="CG207" s="5" t="s">
        <v>395</v>
      </c>
      <c r="CH207" s="5" t="s">
        <v>395</v>
      </c>
      <c r="CI207" s="5" t="s">
        <v>395</v>
      </c>
      <c r="CJ207" s="5" t="s">
        <v>395</v>
      </c>
      <c r="CK207" s="5" t="s">
        <v>395</v>
      </c>
      <c r="CL207" s="5" t="s">
        <v>395</v>
      </c>
      <c r="CM207" s="5" t="s">
        <v>395</v>
      </c>
      <c r="CN207" s="5" t="s">
        <v>395</v>
      </c>
      <c r="CO207" s="5" t="s">
        <v>395</v>
      </c>
      <c r="CP207" s="5" t="s">
        <v>395</v>
      </c>
      <c r="CQ207" s="5" t="s">
        <v>395</v>
      </c>
      <c r="CR207" s="5" t="s">
        <v>395</v>
      </c>
      <c r="CS207" s="5" t="s">
        <v>395</v>
      </c>
      <c r="CT207" s="5" t="s">
        <v>395</v>
      </c>
      <c r="CU207" s="5" t="s">
        <v>395</v>
      </c>
      <c r="CV207" s="5" t="s">
        <v>395</v>
      </c>
      <c r="CW207" s="5" t="s">
        <v>395</v>
      </c>
      <c r="CX207" s="5" t="s">
        <v>395</v>
      </c>
      <c r="CY207" s="252" t="s">
        <v>395</v>
      </c>
    </row>
    <row r="208" spans="1:103" x14ac:dyDescent="0.3">
      <c r="A208" s="31" t="s">
        <v>112</v>
      </c>
      <c r="B208" s="52" t="s">
        <v>24</v>
      </c>
      <c r="C208" s="19" t="s">
        <v>20</v>
      </c>
      <c r="D208" s="19" t="s">
        <v>125</v>
      </c>
      <c r="F208" s="37"/>
      <c r="G208" s="76">
        <v>40418</v>
      </c>
      <c r="H208" s="34">
        <v>2010</v>
      </c>
      <c r="I208" s="127" t="s">
        <v>3</v>
      </c>
      <c r="J208" s="127" t="s">
        <v>114</v>
      </c>
      <c r="K208" s="251">
        <v>0.44000000000000006</v>
      </c>
      <c r="L208" s="5" t="s">
        <v>395</v>
      </c>
      <c r="M208" s="35">
        <v>2.1</v>
      </c>
      <c r="N208" s="35">
        <v>5.6</v>
      </c>
      <c r="O208" s="35">
        <v>10</v>
      </c>
      <c r="P208" s="35">
        <v>9.1999999999999993</v>
      </c>
      <c r="Q208" s="35">
        <v>17</v>
      </c>
      <c r="R208" s="35">
        <v>11</v>
      </c>
      <c r="S208" s="35">
        <v>5.0999999999999996</v>
      </c>
      <c r="T208" s="5">
        <f t="shared" si="153"/>
        <v>60</v>
      </c>
      <c r="U208" s="5">
        <f t="shared" si="155"/>
        <v>577.27272727272725</v>
      </c>
      <c r="V208" s="35">
        <f>0.5*0.015</f>
        <v>7.4999999999999997E-3</v>
      </c>
      <c r="W208" s="35">
        <v>0.44</v>
      </c>
      <c r="X208" s="35">
        <v>0.11</v>
      </c>
      <c r="Y208" s="35">
        <v>3.6999999999999998E-2</v>
      </c>
      <c r="Z208" s="5" t="s">
        <v>395</v>
      </c>
      <c r="AA208" s="35">
        <v>2.4E-2</v>
      </c>
      <c r="AB208" s="35">
        <v>1.4E-2</v>
      </c>
      <c r="AC208" s="24" t="s">
        <v>395</v>
      </c>
      <c r="AD208" s="5" t="s">
        <v>395</v>
      </c>
      <c r="AE208" s="5">
        <f t="shared" si="149"/>
        <v>0.63250000000000006</v>
      </c>
      <c r="AF208" s="35">
        <f t="shared" si="157"/>
        <v>0.25</v>
      </c>
      <c r="AG208" s="250" t="s">
        <v>395</v>
      </c>
      <c r="AH208" s="25">
        <f t="shared" si="145"/>
        <v>90.90425531914893</v>
      </c>
      <c r="AI208" s="5" t="s">
        <v>395</v>
      </c>
      <c r="AJ208" s="5" t="s">
        <v>395</v>
      </c>
      <c r="AK208" s="5" t="s">
        <v>395</v>
      </c>
      <c r="AL208" s="5" t="s">
        <v>395</v>
      </c>
      <c r="AM208" s="5" t="s">
        <v>395</v>
      </c>
      <c r="AN208" s="5" t="s">
        <v>395</v>
      </c>
      <c r="AO208" s="5" t="s">
        <v>395</v>
      </c>
      <c r="AP208" s="5" t="s">
        <v>395</v>
      </c>
      <c r="AQ208" s="5" t="s">
        <v>395</v>
      </c>
      <c r="AR208" s="5" t="s">
        <v>395</v>
      </c>
      <c r="AS208" s="5" t="s">
        <v>395</v>
      </c>
      <c r="AT208" s="5" t="s">
        <v>395</v>
      </c>
      <c r="AU208" s="5" t="s">
        <v>395</v>
      </c>
      <c r="AV208" s="5" t="s">
        <v>395</v>
      </c>
      <c r="AW208" s="5" t="s">
        <v>395</v>
      </c>
      <c r="AX208" s="5" t="s">
        <v>395</v>
      </c>
      <c r="AY208" s="5" t="s">
        <v>395</v>
      </c>
      <c r="AZ208" s="5" t="s">
        <v>395</v>
      </c>
      <c r="BA208" s="5" t="s">
        <v>395</v>
      </c>
      <c r="BB208" s="5" t="s">
        <v>395</v>
      </c>
      <c r="BC208" s="94">
        <v>1709</v>
      </c>
      <c r="BD208" s="5" t="s">
        <v>395</v>
      </c>
      <c r="BE208" s="5" t="s">
        <v>395</v>
      </c>
      <c r="BF208" s="5" t="s">
        <v>395</v>
      </c>
      <c r="BG208" s="5" t="s">
        <v>395</v>
      </c>
      <c r="BH208" s="5" t="s">
        <v>395</v>
      </c>
      <c r="BI208" s="5" t="s">
        <v>395</v>
      </c>
      <c r="BJ208" s="5" t="s">
        <v>395</v>
      </c>
      <c r="BK208" s="5" t="s">
        <v>395</v>
      </c>
      <c r="BL208" s="5" t="s">
        <v>395</v>
      </c>
      <c r="BM208" s="5" t="s">
        <v>395</v>
      </c>
      <c r="BN208" s="5" t="s">
        <v>395</v>
      </c>
      <c r="BO208" s="5" t="s">
        <v>395</v>
      </c>
      <c r="BP208" s="5" t="s">
        <v>395</v>
      </c>
      <c r="BQ208" s="5" t="s">
        <v>395</v>
      </c>
      <c r="BR208" s="5" t="s">
        <v>395</v>
      </c>
      <c r="BS208" s="5" t="s">
        <v>395</v>
      </c>
      <c r="BT208" s="5" t="s">
        <v>395</v>
      </c>
      <c r="BU208" s="5" t="s">
        <v>395</v>
      </c>
      <c r="BV208" s="5" t="s">
        <v>395</v>
      </c>
      <c r="BW208" s="5" t="s">
        <v>395</v>
      </c>
      <c r="BX208" s="5" t="s">
        <v>395</v>
      </c>
      <c r="BY208" s="5" t="s">
        <v>395</v>
      </c>
      <c r="BZ208" s="5" t="s">
        <v>395</v>
      </c>
      <c r="CA208" s="5" t="s">
        <v>395</v>
      </c>
      <c r="CB208" s="5" t="s">
        <v>395</v>
      </c>
      <c r="CC208" s="5" t="s">
        <v>395</v>
      </c>
      <c r="CD208" s="5" t="s">
        <v>395</v>
      </c>
      <c r="CE208" s="5" t="s">
        <v>395</v>
      </c>
      <c r="CF208" s="5" t="s">
        <v>395</v>
      </c>
      <c r="CG208" s="5" t="s">
        <v>395</v>
      </c>
      <c r="CH208" s="5" t="s">
        <v>395</v>
      </c>
      <c r="CI208" s="5" t="s">
        <v>395</v>
      </c>
      <c r="CJ208" s="5" t="s">
        <v>395</v>
      </c>
      <c r="CK208" s="5" t="s">
        <v>395</v>
      </c>
      <c r="CL208" s="5" t="s">
        <v>395</v>
      </c>
      <c r="CM208" s="5" t="s">
        <v>395</v>
      </c>
      <c r="CN208" s="5" t="s">
        <v>395</v>
      </c>
      <c r="CO208" s="5" t="s">
        <v>395</v>
      </c>
      <c r="CP208" s="5" t="s">
        <v>395</v>
      </c>
      <c r="CQ208" s="5" t="s">
        <v>395</v>
      </c>
      <c r="CR208" s="5" t="s">
        <v>395</v>
      </c>
      <c r="CS208" s="5" t="s">
        <v>395</v>
      </c>
      <c r="CT208" s="5" t="s">
        <v>395</v>
      </c>
      <c r="CU208" s="5" t="s">
        <v>395</v>
      </c>
      <c r="CV208" s="5" t="s">
        <v>395</v>
      </c>
      <c r="CW208" s="5" t="s">
        <v>395</v>
      </c>
      <c r="CX208" s="5" t="s">
        <v>395</v>
      </c>
      <c r="CY208" s="252" t="s">
        <v>395</v>
      </c>
    </row>
    <row r="209" spans="1:104" x14ac:dyDescent="0.3">
      <c r="A209" s="31" t="s">
        <v>112</v>
      </c>
      <c r="B209" s="52" t="s">
        <v>24</v>
      </c>
      <c r="C209" s="19" t="s">
        <v>20</v>
      </c>
      <c r="D209" s="19" t="s">
        <v>125</v>
      </c>
      <c r="F209" s="37"/>
      <c r="G209" s="76">
        <v>40418</v>
      </c>
      <c r="H209" s="34">
        <v>2010</v>
      </c>
      <c r="I209" s="127" t="s">
        <v>3</v>
      </c>
      <c r="J209" s="127" t="s">
        <v>114</v>
      </c>
      <c r="K209" s="251">
        <v>0.79</v>
      </c>
      <c r="L209" s="5" t="s">
        <v>395</v>
      </c>
      <c r="M209" s="35">
        <v>2.2999999999999998</v>
      </c>
      <c r="N209" s="35">
        <v>6</v>
      </c>
      <c r="O209" s="35">
        <v>17</v>
      </c>
      <c r="P209" s="35">
        <v>14</v>
      </c>
      <c r="Q209" s="35">
        <v>23</v>
      </c>
      <c r="R209" s="35">
        <v>14</v>
      </c>
      <c r="S209" s="35">
        <v>6.4</v>
      </c>
      <c r="T209" s="5">
        <f t="shared" si="153"/>
        <v>82.7</v>
      </c>
      <c r="U209" s="5">
        <f t="shared" si="155"/>
        <v>434.81012658227849</v>
      </c>
      <c r="V209" s="35">
        <f>0.5*0.012</f>
        <v>6.0000000000000001E-3</v>
      </c>
      <c r="W209" s="35">
        <v>0.68</v>
      </c>
      <c r="X209" s="35">
        <v>0.24</v>
      </c>
      <c r="Y209" s="35">
        <v>0.12</v>
      </c>
      <c r="Z209" s="5" t="s">
        <v>395</v>
      </c>
      <c r="AA209" s="35">
        <v>0.01</v>
      </c>
      <c r="AB209" s="35">
        <f>0.5*0.004</f>
        <v>2E-3</v>
      </c>
      <c r="AC209" s="24" t="s">
        <v>395</v>
      </c>
      <c r="AD209" s="5" t="s">
        <v>395</v>
      </c>
      <c r="AE209" s="5">
        <f t="shared" si="149"/>
        <v>1.0580000000000001</v>
      </c>
      <c r="AF209" s="35">
        <f t="shared" si="157"/>
        <v>0.25</v>
      </c>
      <c r="AG209" s="250" t="s">
        <v>395</v>
      </c>
      <c r="AH209" s="25">
        <f t="shared" si="145"/>
        <v>6.9680851063829783</v>
      </c>
      <c r="AI209" s="5" t="s">
        <v>395</v>
      </c>
      <c r="AJ209" s="5" t="s">
        <v>395</v>
      </c>
      <c r="AK209" s="5" t="s">
        <v>395</v>
      </c>
      <c r="AL209" s="5" t="s">
        <v>395</v>
      </c>
      <c r="AM209" s="5" t="s">
        <v>395</v>
      </c>
      <c r="AN209" s="5" t="s">
        <v>395</v>
      </c>
      <c r="AO209" s="5" t="s">
        <v>395</v>
      </c>
      <c r="AP209" s="5" t="s">
        <v>395</v>
      </c>
      <c r="AQ209" s="5" t="s">
        <v>395</v>
      </c>
      <c r="AR209" s="5" t="s">
        <v>395</v>
      </c>
      <c r="AS209" s="5" t="s">
        <v>395</v>
      </c>
      <c r="AT209" s="5" t="s">
        <v>395</v>
      </c>
      <c r="AU209" s="5" t="s">
        <v>395</v>
      </c>
      <c r="AV209" s="5" t="s">
        <v>395</v>
      </c>
      <c r="AW209" s="5" t="s">
        <v>395</v>
      </c>
      <c r="AX209" s="5" t="s">
        <v>395</v>
      </c>
      <c r="AY209" s="5" t="s">
        <v>395</v>
      </c>
      <c r="AZ209" s="5" t="s">
        <v>395</v>
      </c>
      <c r="BA209" s="5" t="s">
        <v>395</v>
      </c>
      <c r="BB209" s="5" t="s">
        <v>395</v>
      </c>
      <c r="BC209" s="94">
        <v>131</v>
      </c>
      <c r="BD209" s="5" t="s">
        <v>395</v>
      </c>
      <c r="BE209" s="5" t="s">
        <v>395</v>
      </c>
      <c r="BF209" s="5" t="s">
        <v>395</v>
      </c>
      <c r="BG209" s="5" t="s">
        <v>395</v>
      </c>
      <c r="BH209" s="5" t="s">
        <v>395</v>
      </c>
      <c r="BI209" s="5" t="s">
        <v>395</v>
      </c>
      <c r="BJ209" s="5" t="s">
        <v>395</v>
      </c>
      <c r="BK209" s="5" t="s">
        <v>395</v>
      </c>
      <c r="BL209" s="5" t="s">
        <v>395</v>
      </c>
      <c r="BM209" s="5" t="s">
        <v>395</v>
      </c>
      <c r="BN209" s="5" t="s">
        <v>395</v>
      </c>
      <c r="BO209" s="5" t="s">
        <v>395</v>
      </c>
      <c r="BP209" s="5" t="s">
        <v>395</v>
      </c>
      <c r="BQ209" s="5" t="s">
        <v>395</v>
      </c>
      <c r="BR209" s="5" t="s">
        <v>395</v>
      </c>
      <c r="BS209" s="5" t="s">
        <v>395</v>
      </c>
      <c r="BT209" s="5" t="s">
        <v>395</v>
      </c>
      <c r="BU209" s="5" t="s">
        <v>395</v>
      </c>
      <c r="BV209" s="5" t="s">
        <v>395</v>
      </c>
      <c r="BW209" s="5" t="s">
        <v>395</v>
      </c>
      <c r="BX209" s="5" t="s">
        <v>395</v>
      </c>
      <c r="BY209" s="5" t="s">
        <v>395</v>
      </c>
      <c r="BZ209" s="5" t="s">
        <v>395</v>
      </c>
      <c r="CA209" s="5" t="s">
        <v>395</v>
      </c>
      <c r="CB209" s="5" t="s">
        <v>395</v>
      </c>
      <c r="CC209" s="5" t="s">
        <v>395</v>
      </c>
      <c r="CD209" s="5" t="s">
        <v>395</v>
      </c>
      <c r="CE209" s="5" t="s">
        <v>395</v>
      </c>
      <c r="CF209" s="5" t="s">
        <v>395</v>
      </c>
      <c r="CG209" s="5" t="s">
        <v>395</v>
      </c>
      <c r="CH209" s="5" t="s">
        <v>395</v>
      </c>
      <c r="CI209" s="5" t="s">
        <v>395</v>
      </c>
      <c r="CJ209" s="5" t="s">
        <v>395</v>
      </c>
      <c r="CK209" s="5" t="s">
        <v>395</v>
      </c>
      <c r="CL209" s="5" t="s">
        <v>395</v>
      </c>
      <c r="CM209" s="5" t="s">
        <v>395</v>
      </c>
      <c r="CN209" s="5" t="s">
        <v>395</v>
      </c>
      <c r="CO209" s="5" t="s">
        <v>395</v>
      </c>
      <c r="CP209" s="5" t="s">
        <v>395</v>
      </c>
      <c r="CQ209" s="5" t="s">
        <v>395</v>
      </c>
      <c r="CR209" s="5" t="s">
        <v>395</v>
      </c>
      <c r="CS209" s="5" t="s">
        <v>395</v>
      </c>
      <c r="CT209" s="5" t="s">
        <v>395</v>
      </c>
      <c r="CU209" s="5" t="s">
        <v>395</v>
      </c>
      <c r="CV209" s="5" t="s">
        <v>395</v>
      </c>
      <c r="CW209" s="5" t="s">
        <v>395</v>
      </c>
      <c r="CX209" s="5" t="s">
        <v>395</v>
      </c>
      <c r="CY209" s="252" t="s">
        <v>395</v>
      </c>
    </row>
    <row r="210" spans="1:104" x14ac:dyDescent="0.3">
      <c r="A210" s="31" t="s">
        <v>112</v>
      </c>
      <c r="B210" s="52" t="s">
        <v>24</v>
      </c>
      <c r="C210" s="19" t="s">
        <v>20</v>
      </c>
      <c r="D210" s="19" t="s">
        <v>125</v>
      </c>
      <c r="F210" s="37"/>
      <c r="G210" s="76">
        <v>40418</v>
      </c>
      <c r="H210" s="34">
        <v>2010</v>
      </c>
      <c r="I210" s="127" t="s">
        <v>3</v>
      </c>
      <c r="J210" s="127" t="s">
        <v>114</v>
      </c>
      <c r="K210" s="251">
        <v>0.36</v>
      </c>
      <c r="L210" s="5" t="s">
        <v>395</v>
      </c>
      <c r="M210" s="35">
        <v>2.2999999999999998</v>
      </c>
      <c r="N210" s="35">
        <v>6.8</v>
      </c>
      <c r="O210" s="35">
        <v>17</v>
      </c>
      <c r="P210" s="35">
        <v>15</v>
      </c>
      <c r="Q210" s="35">
        <v>31</v>
      </c>
      <c r="R210" s="35">
        <v>18</v>
      </c>
      <c r="S210" s="35">
        <v>8.9</v>
      </c>
      <c r="T210" s="5">
        <f t="shared" si="153"/>
        <v>99</v>
      </c>
      <c r="U210" s="5">
        <f t="shared" si="155"/>
        <v>1166.6666666666667</v>
      </c>
      <c r="V210" s="35">
        <v>1.0999999999999999E-2</v>
      </c>
      <c r="W210" s="35">
        <v>0.62</v>
      </c>
      <c r="X210" s="35">
        <v>0.16</v>
      </c>
      <c r="Y210" s="35">
        <v>0.1</v>
      </c>
      <c r="Z210" s="5" t="s">
        <v>395</v>
      </c>
      <c r="AA210" s="35">
        <v>0.04</v>
      </c>
      <c r="AB210" s="35">
        <v>2.5999999999999999E-2</v>
      </c>
      <c r="AC210" s="24" t="s">
        <v>395</v>
      </c>
      <c r="AD210" s="5" t="s">
        <v>395</v>
      </c>
      <c r="AE210" s="5">
        <f t="shared" si="149"/>
        <v>0.95700000000000007</v>
      </c>
      <c r="AF210" s="35">
        <f t="shared" si="157"/>
        <v>0.25</v>
      </c>
      <c r="AG210" s="250" t="s">
        <v>395</v>
      </c>
      <c r="AH210" s="25">
        <f t="shared" si="145"/>
        <v>33.191489361702125</v>
      </c>
      <c r="AI210" s="5" t="s">
        <v>395</v>
      </c>
      <c r="AJ210" s="5" t="s">
        <v>395</v>
      </c>
      <c r="AK210" s="5" t="s">
        <v>395</v>
      </c>
      <c r="AL210" s="5" t="s">
        <v>395</v>
      </c>
      <c r="AM210" s="5" t="s">
        <v>395</v>
      </c>
      <c r="AN210" s="5" t="s">
        <v>395</v>
      </c>
      <c r="AO210" s="5" t="s">
        <v>395</v>
      </c>
      <c r="AP210" s="5" t="s">
        <v>395</v>
      </c>
      <c r="AQ210" s="5" t="s">
        <v>395</v>
      </c>
      <c r="AR210" s="5" t="s">
        <v>395</v>
      </c>
      <c r="AS210" s="5" t="s">
        <v>395</v>
      </c>
      <c r="AT210" s="5" t="s">
        <v>395</v>
      </c>
      <c r="AU210" s="5" t="s">
        <v>395</v>
      </c>
      <c r="AV210" s="5" t="s">
        <v>395</v>
      </c>
      <c r="AW210" s="5" t="s">
        <v>395</v>
      </c>
      <c r="AX210" s="5" t="s">
        <v>395</v>
      </c>
      <c r="AY210" s="5" t="s">
        <v>395</v>
      </c>
      <c r="AZ210" s="5" t="s">
        <v>395</v>
      </c>
      <c r="BA210" s="5" t="s">
        <v>395</v>
      </c>
      <c r="BB210" s="5" t="s">
        <v>395</v>
      </c>
      <c r="BC210" s="94">
        <v>624</v>
      </c>
      <c r="BD210" s="5" t="s">
        <v>395</v>
      </c>
      <c r="BE210" s="5" t="s">
        <v>395</v>
      </c>
      <c r="BF210" s="5" t="s">
        <v>395</v>
      </c>
      <c r="BG210" s="5" t="s">
        <v>395</v>
      </c>
      <c r="BH210" s="5" t="s">
        <v>395</v>
      </c>
      <c r="BI210" s="5" t="s">
        <v>395</v>
      </c>
      <c r="BJ210" s="5" t="s">
        <v>395</v>
      </c>
      <c r="BK210" s="5" t="s">
        <v>395</v>
      </c>
      <c r="BL210" s="5" t="s">
        <v>395</v>
      </c>
      <c r="BM210" s="5" t="s">
        <v>395</v>
      </c>
      <c r="BN210" s="5" t="s">
        <v>395</v>
      </c>
      <c r="BO210" s="5" t="s">
        <v>395</v>
      </c>
      <c r="BP210" s="5" t="s">
        <v>395</v>
      </c>
      <c r="BQ210" s="5" t="s">
        <v>395</v>
      </c>
      <c r="BR210" s="5" t="s">
        <v>395</v>
      </c>
      <c r="BS210" s="5" t="s">
        <v>395</v>
      </c>
      <c r="BT210" s="5" t="s">
        <v>395</v>
      </c>
      <c r="BU210" s="5" t="s">
        <v>395</v>
      </c>
      <c r="BV210" s="5" t="s">
        <v>395</v>
      </c>
      <c r="BW210" s="5" t="s">
        <v>395</v>
      </c>
      <c r="BX210" s="5" t="s">
        <v>395</v>
      </c>
      <c r="BY210" s="5" t="s">
        <v>395</v>
      </c>
      <c r="BZ210" s="5" t="s">
        <v>395</v>
      </c>
      <c r="CA210" s="5" t="s">
        <v>395</v>
      </c>
      <c r="CB210" s="5" t="s">
        <v>395</v>
      </c>
      <c r="CC210" s="5" t="s">
        <v>395</v>
      </c>
      <c r="CD210" s="5" t="s">
        <v>395</v>
      </c>
      <c r="CE210" s="5" t="s">
        <v>395</v>
      </c>
      <c r="CF210" s="5" t="s">
        <v>395</v>
      </c>
      <c r="CG210" s="5" t="s">
        <v>395</v>
      </c>
      <c r="CH210" s="5" t="s">
        <v>395</v>
      </c>
      <c r="CI210" s="5" t="s">
        <v>395</v>
      </c>
      <c r="CJ210" s="5" t="s">
        <v>395</v>
      </c>
      <c r="CK210" s="5" t="s">
        <v>395</v>
      </c>
      <c r="CL210" s="5" t="s">
        <v>395</v>
      </c>
      <c r="CM210" s="5" t="s">
        <v>395</v>
      </c>
      <c r="CN210" s="5" t="s">
        <v>395</v>
      </c>
      <c r="CO210" s="5" t="s">
        <v>395</v>
      </c>
      <c r="CP210" s="5" t="s">
        <v>395</v>
      </c>
      <c r="CQ210" s="5" t="s">
        <v>395</v>
      </c>
      <c r="CR210" s="5" t="s">
        <v>395</v>
      </c>
      <c r="CS210" s="5" t="s">
        <v>395</v>
      </c>
      <c r="CT210" s="5" t="s">
        <v>395</v>
      </c>
      <c r="CU210" s="5" t="s">
        <v>395</v>
      </c>
      <c r="CV210" s="5" t="s">
        <v>395</v>
      </c>
      <c r="CW210" s="5" t="s">
        <v>395</v>
      </c>
      <c r="CX210" s="5" t="s">
        <v>395</v>
      </c>
      <c r="CY210" s="252" t="s">
        <v>395</v>
      </c>
    </row>
    <row r="211" spans="1:104" x14ac:dyDescent="0.3">
      <c r="A211" s="31" t="s">
        <v>112</v>
      </c>
      <c r="B211" s="52" t="s">
        <v>24</v>
      </c>
      <c r="C211" s="19" t="s">
        <v>20</v>
      </c>
      <c r="D211" s="19" t="s">
        <v>125</v>
      </c>
      <c r="F211" s="37"/>
      <c r="G211" s="76">
        <v>40418</v>
      </c>
      <c r="H211" s="34">
        <v>2010</v>
      </c>
      <c r="I211" s="127" t="s">
        <v>3</v>
      </c>
      <c r="J211" s="127" t="s">
        <v>114</v>
      </c>
      <c r="K211" s="251">
        <v>0.38</v>
      </c>
      <c r="L211" s="5" t="s">
        <v>395</v>
      </c>
      <c r="M211" s="35">
        <v>1.7</v>
      </c>
      <c r="N211" s="35">
        <v>7.3</v>
      </c>
      <c r="O211" s="35">
        <v>13</v>
      </c>
      <c r="P211" s="35">
        <v>8.5</v>
      </c>
      <c r="Q211" s="35">
        <v>16</v>
      </c>
      <c r="R211" s="35">
        <v>11</v>
      </c>
      <c r="S211" s="35">
        <v>3.1</v>
      </c>
      <c r="T211" s="5">
        <f t="shared" si="153"/>
        <v>60.6</v>
      </c>
      <c r="U211" s="5">
        <f t="shared" si="155"/>
        <v>685.52631578947364</v>
      </c>
      <c r="V211" s="35">
        <v>1.2E-2</v>
      </c>
      <c r="W211" s="35">
        <v>0.37</v>
      </c>
      <c r="X211" s="35">
        <v>7.1999999999999995E-2</v>
      </c>
      <c r="Y211" s="35">
        <v>6.3E-2</v>
      </c>
      <c r="Z211" s="5" t="s">
        <v>395</v>
      </c>
      <c r="AA211" s="35">
        <v>1.6E-2</v>
      </c>
      <c r="AB211" s="35">
        <v>7.6E-3</v>
      </c>
      <c r="AC211" s="24" t="s">
        <v>395</v>
      </c>
      <c r="AD211" s="5" t="s">
        <v>395</v>
      </c>
      <c r="AE211" s="5">
        <f t="shared" si="149"/>
        <v>0.54060000000000008</v>
      </c>
      <c r="AF211" s="35">
        <f t="shared" si="157"/>
        <v>0.25</v>
      </c>
      <c r="AG211" s="250" t="s">
        <v>395</v>
      </c>
      <c r="AH211" s="25">
        <f t="shared" si="145"/>
        <v>18.191489361702128</v>
      </c>
      <c r="AI211" s="5" t="s">
        <v>395</v>
      </c>
      <c r="AJ211" s="5" t="s">
        <v>395</v>
      </c>
      <c r="AK211" s="5" t="s">
        <v>395</v>
      </c>
      <c r="AL211" s="5" t="s">
        <v>395</v>
      </c>
      <c r="AM211" s="5" t="s">
        <v>395</v>
      </c>
      <c r="AN211" s="5" t="s">
        <v>395</v>
      </c>
      <c r="AO211" s="5" t="s">
        <v>395</v>
      </c>
      <c r="AP211" s="5" t="s">
        <v>395</v>
      </c>
      <c r="AQ211" s="5" t="s">
        <v>395</v>
      </c>
      <c r="AR211" s="5" t="s">
        <v>395</v>
      </c>
      <c r="AS211" s="5" t="s">
        <v>395</v>
      </c>
      <c r="AT211" s="5" t="s">
        <v>395</v>
      </c>
      <c r="AU211" s="5" t="s">
        <v>395</v>
      </c>
      <c r="AV211" s="5" t="s">
        <v>395</v>
      </c>
      <c r="AW211" s="5" t="s">
        <v>395</v>
      </c>
      <c r="AX211" s="5" t="s">
        <v>395</v>
      </c>
      <c r="AY211" s="5" t="s">
        <v>395</v>
      </c>
      <c r="AZ211" s="5" t="s">
        <v>395</v>
      </c>
      <c r="BA211" s="5" t="s">
        <v>395</v>
      </c>
      <c r="BB211" s="5" t="s">
        <v>395</v>
      </c>
      <c r="BC211" s="94">
        <v>342</v>
      </c>
      <c r="BD211" s="5" t="s">
        <v>395</v>
      </c>
      <c r="BE211" s="5" t="s">
        <v>395</v>
      </c>
      <c r="BF211" s="5" t="s">
        <v>395</v>
      </c>
      <c r="BG211" s="5" t="s">
        <v>395</v>
      </c>
      <c r="BH211" s="5" t="s">
        <v>395</v>
      </c>
      <c r="BI211" s="5" t="s">
        <v>395</v>
      </c>
      <c r="BJ211" s="5" t="s">
        <v>395</v>
      </c>
      <c r="BK211" s="5" t="s">
        <v>395</v>
      </c>
      <c r="BL211" s="5" t="s">
        <v>395</v>
      </c>
      <c r="BM211" s="5" t="s">
        <v>395</v>
      </c>
      <c r="BN211" s="5" t="s">
        <v>395</v>
      </c>
      <c r="BO211" s="5" t="s">
        <v>395</v>
      </c>
      <c r="BP211" s="5" t="s">
        <v>395</v>
      </c>
      <c r="BQ211" s="5" t="s">
        <v>395</v>
      </c>
      <c r="BR211" s="5" t="s">
        <v>395</v>
      </c>
      <c r="BS211" s="5" t="s">
        <v>395</v>
      </c>
      <c r="BT211" s="5" t="s">
        <v>395</v>
      </c>
      <c r="BU211" s="5" t="s">
        <v>395</v>
      </c>
      <c r="BV211" s="5" t="s">
        <v>395</v>
      </c>
      <c r="BW211" s="5" t="s">
        <v>395</v>
      </c>
      <c r="BX211" s="5" t="s">
        <v>395</v>
      </c>
      <c r="BY211" s="5" t="s">
        <v>395</v>
      </c>
      <c r="BZ211" s="5" t="s">
        <v>395</v>
      </c>
      <c r="CA211" s="5" t="s">
        <v>395</v>
      </c>
      <c r="CB211" s="5" t="s">
        <v>395</v>
      </c>
      <c r="CC211" s="5" t="s">
        <v>395</v>
      </c>
      <c r="CD211" s="5" t="s">
        <v>395</v>
      </c>
      <c r="CE211" s="5" t="s">
        <v>395</v>
      </c>
      <c r="CF211" s="5" t="s">
        <v>395</v>
      </c>
      <c r="CG211" s="5" t="s">
        <v>395</v>
      </c>
      <c r="CH211" s="5" t="s">
        <v>395</v>
      </c>
      <c r="CI211" s="5" t="s">
        <v>395</v>
      </c>
      <c r="CJ211" s="5" t="s">
        <v>395</v>
      </c>
      <c r="CK211" s="5" t="s">
        <v>395</v>
      </c>
      <c r="CL211" s="5" t="s">
        <v>395</v>
      </c>
      <c r="CM211" s="5" t="s">
        <v>395</v>
      </c>
      <c r="CN211" s="5" t="s">
        <v>395</v>
      </c>
      <c r="CO211" s="5" t="s">
        <v>395</v>
      </c>
      <c r="CP211" s="5" t="s">
        <v>395</v>
      </c>
      <c r="CQ211" s="5" t="s">
        <v>395</v>
      </c>
      <c r="CR211" s="5" t="s">
        <v>395</v>
      </c>
      <c r="CS211" s="5" t="s">
        <v>395</v>
      </c>
      <c r="CT211" s="5" t="s">
        <v>395</v>
      </c>
      <c r="CU211" s="5" t="s">
        <v>395</v>
      </c>
      <c r="CV211" s="5" t="s">
        <v>395</v>
      </c>
      <c r="CW211" s="5" t="s">
        <v>395</v>
      </c>
      <c r="CX211" s="5" t="s">
        <v>395</v>
      </c>
      <c r="CY211" s="252" t="s">
        <v>395</v>
      </c>
    </row>
    <row r="212" spans="1:104" x14ac:dyDescent="0.3">
      <c r="A212" s="31" t="s">
        <v>112</v>
      </c>
      <c r="B212" s="52" t="s">
        <v>24</v>
      </c>
      <c r="C212" s="19" t="s">
        <v>20</v>
      </c>
      <c r="D212" s="19" t="s">
        <v>125</v>
      </c>
      <c r="F212" s="33"/>
      <c r="G212" s="76">
        <v>40418</v>
      </c>
      <c r="H212" s="34">
        <v>2010</v>
      </c>
      <c r="I212" s="127" t="s">
        <v>3</v>
      </c>
      <c r="J212" s="127" t="s">
        <v>114</v>
      </c>
      <c r="K212" s="251">
        <v>0.3</v>
      </c>
      <c r="L212" s="5" t="s">
        <v>395</v>
      </c>
      <c r="M212" s="35">
        <v>2.2999999999999998</v>
      </c>
      <c r="N212" s="35">
        <v>6.7</v>
      </c>
      <c r="O212" s="35">
        <v>16</v>
      </c>
      <c r="P212" s="35">
        <v>14</v>
      </c>
      <c r="Q212" s="35">
        <v>29</v>
      </c>
      <c r="R212" s="35">
        <v>22</v>
      </c>
      <c r="S212" s="35">
        <v>6.4</v>
      </c>
      <c r="T212" s="5">
        <f t="shared" si="153"/>
        <v>96.4</v>
      </c>
      <c r="U212" s="5">
        <f>SUM(M212,N212,O212,Q212,R212,S212)*(5/K212)</f>
        <v>1373.3333333333335</v>
      </c>
      <c r="V212" s="35">
        <v>8.8000000000000005E-3</v>
      </c>
      <c r="W212" s="35">
        <v>0.56999999999999995</v>
      </c>
      <c r="X212" s="35">
        <v>0.14000000000000001</v>
      </c>
      <c r="Y212" s="35">
        <v>0.19</v>
      </c>
      <c r="Z212" s="5" t="s">
        <v>395</v>
      </c>
      <c r="AA212" s="35">
        <v>2.3E-2</v>
      </c>
      <c r="AB212" s="35">
        <v>1.7999999999999999E-2</v>
      </c>
      <c r="AC212" s="24" t="s">
        <v>395</v>
      </c>
      <c r="AD212" s="5" t="s">
        <v>395</v>
      </c>
      <c r="AE212" s="5">
        <f t="shared" si="149"/>
        <v>0.94979999999999998</v>
      </c>
      <c r="AF212" s="35">
        <f t="shared" si="157"/>
        <v>0.25</v>
      </c>
      <c r="AG212" s="250" t="s">
        <v>395</v>
      </c>
      <c r="AH212" s="25">
        <f t="shared" si="145"/>
        <v>39.521276595744681</v>
      </c>
      <c r="AI212" s="5" t="s">
        <v>395</v>
      </c>
      <c r="AJ212" s="5" t="s">
        <v>395</v>
      </c>
      <c r="AK212" s="5" t="s">
        <v>395</v>
      </c>
      <c r="AL212" s="5" t="s">
        <v>395</v>
      </c>
      <c r="AM212" s="5" t="s">
        <v>395</v>
      </c>
      <c r="AN212" s="5" t="s">
        <v>395</v>
      </c>
      <c r="AO212" s="5" t="s">
        <v>395</v>
      </c>
      <c r="AP212" s="5" t="s">
        <v>395</v>
      </c>
      <c r="AQ212" s="5" t="s">
        <v>395</v>
      </c>
      <c r="AR212" s="5" t="s">
        <v>395</v>
      </c>
      <c r="AS212" s="5" t="s">
        <v>395</v>
      </c>
      <c r="AT212" s="5" t="s">
        <v>395</v>
      </c>
      <c r="AU212" s="5" t="s">
        <v>395</v>
      </c>
      <c r="AV212" s="5" t="s">
        <v>395</v>
      </c>
      <c r="AW212" s="5" t="s">
        <v>395</v>
      </c>
      <c r="AX212" s="5" t="s">
        <v>395</v>
      </c>
      <c r="AY212" s="5" t="s">
        <v>395</v>
      </c>
      <c r="AZ212" s="5" t="s">
        <v>395</v>
      </c>
      <c r="BA212" s="5" t="s">
        <v>395</v>
      </c>
      <c r="BB212" s="5" t="s">
        <v>395</v>
      </c>
      <c r="BC212" s="94">
        <v>743</v>
      </c>
      <c r="BD212" s="5" t="s">
        <v>395</v>
      </c>
      <c r="BE212" s="5" t="s">
        <v>395</v>
      </c>
      <c r="BF212" s="5" t="s">
        <v>395</v>
      </c>
      <c r="BG212" s="5" t="s">
        <v>395</v>
      </c>
      <c r="BH212" s="5" t="s">
        <v>395</v>
      </c>
      <c r="BI212" s="5" t="s">
        <v>395</v>
      </c>
      <c r="BJ212" s="5" t="s">
        <v>395</v>
      </c>
      <c r="BK212" s="5" t="s">
        <v>395</v>
      </c>
      <c r="BL212" s="5" t="s">
        <v>395</v>
      </c>
      <c r="BM212" s="5" t="s">
        <v>395</v>
      </c>
      <c r="BN212" s="5" t="s">
        <v>395</v>
      </c>
      <c r="BO212" s="5" t="s">
        <v>395</v>
      </c>
      <c r="BP212" s="5" t="s">
        <v>395</v>
      </c>
      <c r="BQ212" s="5" t="s">
        <v>395</v>
      </c>
      <c r="BR212" s="5" t="s">
        <v>395</v>
      </c>
      <c r="BS212" s="5" t="s">
        <v>395</v>
      </c>
      <c r="BT212" s="5" t="s">
        <v>395</v>
      </c>
      <c r="BU212" s="5" t="s">
        <v>395</v>
      </c>
      <c r="BV212" s="5" t="s">
        <v>395</v>
      </c>
      <c r="BW212" s="5" t="s">
        <v>395</v>
      </c>
      <c r="BX212" s="5" t="s">
        <v>395</v>
      </c>
      <c r="BY212" s="5" t="s">
        <v>395</v>
      </c>
      <c r="BZ212" s="5" t="s">
        <v>395</v>
      </c>
      <c r="CA212" s="5" t="s">
        <v>395</v>
      </c>
      <c r="CB212" s="5" t="s">
        <v>395</v>
      </c>
      <c r="CC212" s="5" t="s">
        <v>395</v>
      </c>
      <c r="CD212" s="5" t="s">
        <v>395</v>
      </c>
      <c r="CE212" s="5" t="s">
        <v>395</v>
      </c>
      <c r="CF212" s="5" t="s">
        <v>395</v>
      </c>
      <c r="CG212" s="5" t="s">
        <v>395</v>
      </c>
      <c r="CH212" s="5" t="s">
        <v>395</v>
      </c>
      <c r="CI212" s="5" t="s">
        <v>395</v>
      </c>
      <c r="CJ212" s="5" t="s">
        <v>395</v>
      </c>
      <c r="CK212" s="5" t="s">
        <v>395</v>
      </c>
      <c r="CL212" s="5" t="s">
        <v>395</v>
      </c>
      <c r="CM212" s="5" t="s">
        <v>395</v>
      </c>
      <c r="CN212" s="5" t="s">
        <v>395</v>
      </c>
      <c r="CO212" s="5" t="s">
        <v>395</v>
      </c>
      <c r="CP212" s="5" t="s">
        <v>395</v>
      </c>
      <c r="CQ212" s="5" t="s">
        <v>395</v>
      </c>
      <c r="CR212" s="5" t="s">
        <v>395</v>
      </c>
      <c r="CS212" s="5" t="s">
        <v>395</v>
      </c>
      <c r="CT212" s="5" t="s">
        <v>395</v>
      </c>
      <c r="CU212" s="5" t="s">
        <v>395</v>
      </c>
      <c r="CV212" s="5" t="s">
        <v>395</v>
      </c>
      <c r="CW212" s="5" t="s">
        <v>395</v>
      </c>
      <c r="CX212" s="5" t="s">
        <v>395</v>
      </c>
      <c r="CY212" s="252" t="s">
        <v>395</v>
      </c>
    </row>
    <row r="213" spans="1:104" x14ac:dyDescent="0.3">
      <c r="A213" s="31" t="s">
        <v>112</v>
      </c>
      <c r="B213" s="52" t="s">
        <v>24</v>
      </c>
      <c r="C213" s="19" t="s">
        <v>20</v>
      </c>
      <c r="D213" s="19" t="s">
        <v>125</v>
      </c>
      <c r="F213" s="37"/>
      <c r="G213" s="76">
        <v>40418</v>
      </c>
      <c r="H213" s="34">
        <v>2010</v>
      </c>
      <c r="I213" s="127" t="s">
        <v>3</v>
      </c>
      <c r="J213" s="127" t="s">
        <v>114</v>
      </c>
      <c r="K213" s="251">
        <v>0.38</v>
      </c>
      <c r="L213" s="5" t="s">
        <v>395</v>
      </c>
      <c r="M213" s="35">
        <v>2.2000000000000002</v>
      </c>
      <c r="N213" s="35">
        <v>7.2</v>
      </c>
      <c r="O213" s="35">
        <v>14</v>
      </c>
      <c r="P213" s="35">
        <v>11</v>
      </c>
      <c r="Q213" s="35">
        <v>16</v>
      </c>
      <c r="R213" s="35">
        <v>12</v>
      </c>
      <c r="S213" s="35">
        <v>4.5</v>
      </c>
      <c r="T213" s="5">
        <f t="shared" si="153"/>
        <v>66.900000000000006</v>
      </c>
      <c r="U213" s="5">
        <f t="shared" si="155"/>
        <v>735.52631578947364</v>
      </c>
      <c r="V213" s="35">
        <v>7.4999999999999997E-3</v>
      </c>
      <c r="W213" s="35">
        <v>0.39</v>
      </c>
      <c r="X213" s="35">
        <v>0.1</v>
      </c>
      <c r="Y213" s="35">
        <v>0.17</v>
      </c>
      <c r="Z213" s="5" t="s">
        <v>395</v>
      </c>
      <c r="AA213" s="35">
        <v>0.03</v>
      </c>
      <c r="AB213" s="35">
        <v>1.6E-2</v>
      </c>
      <c r="AC213" s="24" t="s">
        <v>395</v>
      </c>
      <c r="AD213" s="5" t="s">
        <v>395</v>
      </c>
      <c r="AE213" s="5">
        <f t="shared" si="149"/>
        <v>0.71350000000000002</v>
      </c>
      <c r="AF213" s="35">
        <v>0.79</v>
      </c>
      <c r="AG213" s="250" t="s">
        <v>395</v>
      </c>
      <c r="AH213" s="25">
        <f t="shared" si="145"/>
        <v>12.712765957446807</v>
      </c>
      <c r="AI213" s="5" t="s">
        <v>395</v>
      </c>
      <c r="AJ213" s="5" t="s">
        <v>395</v>
      </c>
      <c r="AK213" s="5" t="s">
        <v>395</v>
      </c>
      <c r="AL213" s="5" t="s">
        <v>395</v>
      </c>
      <c r="AM213" s="5" t="s">
        <v>395</v>
      </c>
      <c r="AN213" s="5" t="s">
        <v>395</v>
      </c>
      <c r="AO213" s="5" t="s">
        <v>395</v>
      </c>
      <c r="AP213" s="5" t="s">
        <v>395</v>
      </c>
      <c r="AQ213" s="5" t="s">
        <v>395</v>
      </c>
      <c r="AR213" s="5" t="s">
        <v>395</v>
      </c>
      <c r="AS213" s="5" t="s">
        <v>395</v>
      </c>
      <c r="AT213" s="5" t="s">
        <v>395</v>
      </c>
      <c r="AU213" s="5" t="s">
        <v>395</v>
      </c>
      <c r="AV213" s="5" t="s">
        <v>395</v>
      </c>
      <c r="AW213" s="5" t="s">
        <v>395</v>
      </c>
      <c r="AX213" s="5" t="s">
        <v>395</v>
      </c>
      <c r="AY213" s="5" t="s">
        <v>395</v>
      </c>
      <c r="AZ213" s="5" t="s">
        <v>395</v>
      </c>
      <c r="BA213" s="5" t="s">
        <v>395</v>
      </c>
      <c r="BB213" s="5" t="s">
        <v>395</v>
      </c>
      <c r="BC213" s="94">
        <v>239</v>
      </c>
      <c r="BD213" s="5" t="s">
        <v>395</v>
      </c>
      <c r="BE213" s="5" t="s">
        <v>395</v>
      </c>
      <c r="BF213" s="5" t="s">
        <v>395</v>
      </c>
      <c r="BG213" s="5" t="s">
        <v>395</v>
      </c>
      <c r="BH213" s="5" t="s">
        <v>395</v>
      </c>
      <c r="BI213" s="5" t="s">
        <v>395</v>
      </c>
      <c r="BJ213" s="5" t="s">
        <v>395</v>
      </c>
      <c r="BK213" s="5" t="s">
        <v>395</v>
      </c>
      <c r="BL213" s="5" t="s">
        <v>395</v>
      </c>
      <c r="BM213" s="5" t="s">
        <v>395</v>
      </c>
      <c r="BN213" s="5" t="s">
        <v>395</v>
      </c>
      <c r="BO213" s="5" t="s">
        <v>395</v>
      </c>
      <c r="BP213" s="5" t="s">
        <v>395</v>
      </c>
      <c r="BQ213" s="5" t="s">
        <v>395</v>
      </c>
      <c r="BR213" s="5" t="s">
        <v>395</v>
      </c>
      <c r="BS213" s="5" t="s">
        <v>395</v>
      </c>
      <c r="BT213" s="5" t="s">
        <v>395</v>
      </c>
      <c r="BU213" s="5" t="s">
        <v>395</v>
      </c>
      <c r="BV213" s="5" t="s">
        <v>395</v>
      </c>
      <c r="BW213" s="5" t="s">
        <v>395</v>
      </c>
      <c r="BX213" s="5" t="s">
        <v>395</v>
      </c>
      <c r="BY213" s="5" t="s">
        <v>395</v>
      </c>
      <c r="BZ213" s="5" t="s">
        <v>395</v>
      </c>
      <c r="CA213" s="5" t="s">
        <v>395</v>
      </c>
      <c r="CB213" s="5" t="s">
        <v>395</v>
      </c>
      <c r="CC213" s="5" t="s">
        <v>395</v>
      </c>
      <c r="CD213" s="5" t="s">
        <v>395</v>
      </c>
      <c r="CE213" s="5" t="s">
        <v>395</v>
      </c>
      <c r="CF213" s="5" t="s">
        <v>395</v>
      </c>
      <c r="CG213" s="5" t="s">
        <v>395</v>
      </c>
      <c r="CH213" s="5" t="s">
        <v>395</v>
      </c>
      <c r="CI213" s="5" t="s">
        <v>395</v>
      </c>
      <c r="CJ213" s="5" t="s">
        <v>395</v>
      </c>
      <c r="CK213" s="5" t="s">
        <v>395</v>
      </c>
      <c r="CL213" s="5" t="s">
        <v>395</v>
      </c>
      <c r="CM213" s="5" t="s">
        <v>395</v>
      </c>
      <c r="CN213" s="5" t="s">
        <v>395</v>
      </c>
      <c r="CO213" s="5" t="s">
        <v>395</v>
      </c>
      <c r="CP213" s="5" t="s">
        <v>395</v>
      </c>
      <c r="CQ213" s="5" t="s">
        <v>395</v>
      </c>
      <c r="CR213" s="5" t="s">
        <v>395</v>
      </c>
      <c r="CS213" s="5" t="s">
        <v>395</v>
      </c>
      <c r="CT213" s="5" t="s">
        <v>395</v>
      </c>
      <c r="CU213" s="5" t="s">
        <v>395</v>
      </c>
      <c r="CV213" s="5" t="s">
        <v>395</v>
      </c>
      <c r="CW213" s="5" t="s">
        <v>395</v>
      </c>
      <c r="CX213" s="5" t="s">
        <v>395</v>
      </c>
      <c r="CY213" s="252" t="s">
        <v>395</v>
      </c>
    </row>
    <row r="214" spans="1:104" ht="14.5" thickBot="1" x14ac:dyDescent="0.35">
      <c r="A214" s="39" t="s">
        <v>112</v>
      </c>
      <c r="B214" s="53" t="s">
        <v>24</v>
      </c>
      <c r="C214" s="40" t="s">
        <v>20</v>
      </c>
      <c r="D214" s="40" t="s">
        <v>125</v>
      </c>
      <c r="E214" s="17"/>
      <c r="F214" s="41"/>
      <c r="G214" s="77">
        <v>40418</v>
      </c>
      <c r="H214" s="42">
        <v>2010</v>
      </c>
      <c r="I214" s="128" t="s">
        <v>3</v>
      </c>
      <c r="J214" s="128" t="s">
        <v>114</v>
      </c>
      <c r="K214" s="255">
        <v>0.72</v>
      </c>
      <c r="L214" s="18" t="s">
        <v>395</v>
      </c>
      <c r="M214" s="43">
        <v>6.6</v>
      </c>
      <c r="N214" s="43">
        <v>13</v>
      </c>
      <c r="O214" s="43">
        <v>28</v>
      </c>
      <c r="P214" s="43">
        <v>32</v>
      </c>
      <c r="Q214" s="43">
        <v>56</v>
      </c>
      <c r="R214" s="43">
        <v>45</v>
      </c>
      <c r="S214" s="43">
        <v>14</v>
      </c>
      <c r="T214" s="18">
        <f t="shared" si="153"/>
        <v>194.6</v>
      </c>
      <c r="U214" s="18">
        <f t="shared" si="155"/>
        <v>1129.1666666666667</v>
      </c>
      <c r="V214" s="43">
        <v>1.2999999999999999E-2</v>
      </c>
      <c r="W214" s="43">
        <v>1.3</v>
      </c>
      <c r="X214" s="43">
        <v>0.4</v>
      </c>
      <c r="Y214" s="43">
        <v>0.25</v>
      </c>
      <c r="Z214" s="18" t="s">
        <v>395</v>
      </c>
      <c r="AA214" s="43">
        <v>0.05</v>
      </c>
      <c r="AB214" s="43">
        <v>3.2000000000000001E-2</v>
      </c>
      <c r="AC214" s="44" t="s">
        <v>395</v>
      </c>
      <c r="AD214" s="18" t="s">
        <v>395</v>
      </c>
      <c r="AE214" s="18">
        <f t="shared" si="149"/>
        <v>2.0449999999999999</v>
      </c>
      <c r="AF214" s="43">
        <v>0.79</v>
      </c>
      <c r="AG214" s="256" t="s">
        <v>395</v>
      </c>
      <c r="AH214" s="78">
        <f t="shared" si="145"/>
        <v>8.4574468085106371</v>
      </c>
      <c r="AI214" s="18" t="s">
        <v>395</v>
      </c>
      <c r="AJ214" s="18" t="s">
        <v>395</v>
      </c>
      <c r="AK214" s="18" t="s">
        <v>395</v>
      </c>
      <c r="AL214" s="18" t="s">
        <v>395</v>
      </c>
      <c r="AM214" s="18" t="s">
        <v>395</v>
      </c>
      <c r="AN214" s="18" t="s">
        <v>395</v>
      </c>
      <c r="AO214" s="18" t="s">
        <v>395</v>
      </c>
      <c r="AP214" s="18" t="s">
        <v>395</v>
      </c>
      <c r="AQ214" s="18" t="s">
        <v>395</v>
      </c>
      <c r="AR214" s="18" t="s">
        <v>395</v>
      </c>
      <c r="AS214" s="18" t="s">
        <v>395</v>
      </c>
      <c r="AT214" s="18" t="s">
        <v>395</v>
      </c>
      <c r="AU214" s="18" t="s">
        <v>395</v>
      </c>
      <c r="AV214" s="18" t="s">
        <v>395</v>
      </c>
      <c r="AW214" s="18" t="s">
        <v>395</v>
      </c>
      <c r="AX214" s="18" t="s">
        <v>395</v>
      </c>
      <c r="AY214" s="18" t="s">
        <v>395</v>
      </c>
      <c r="AZ214" s="18" t="s">
        <v>395</v>
      </c>
      <c r="BA214" s="18" t="s">
        <v>395</v>
      </c>
      <c r="BB214" s="18" t="s">
        <v>395</v>
      </c>
      <c r="BC214" s="95">
        <v>159</v>
      </c>
      <c r="BD214" s="18" t="s">
        <v>395</v>
      </c>
      <c r="BE214" s="18" t="s">
        <v>395</v>
      </c>
      <c r="BF214" s="18" t="s">
        <v>395</v>
      </c>
      <c r="BG214" s="18" t="s">
        <v>395</v>
      </c>
      <c r="BH214" s="18" t="s">
        <v>395</v>
      </c>
      <c r="BI214" s="18" t="s">
        <v>395</v>
      </c>
      <c r="BJ214" s="18" t="s">
        <v>395</v>
      </c>
      <c r="BK214" s="18" t="s">
        <v>395</v>
      </c>
      <c r="BL214" s="18" t="s">
        <v>395</v>
      </c>
      <c r="BM214" s="18" t="s">
        <v>395</v>
      </c>
      <c r="BN214" s="18" t="s">
        <v>395</v>
      </c>
      <c r="BO214" s="18" t="s">
        <v>395</v>
      </c>
      <c r="BP214" s="18" t="s">
        <v>395</v>
      </c>
      <c r="BQ214" s="18" t="s">
        <v>395</v>
      </c>
      <c r="BR214" s="18" t="s">
        <v>395</v>
      </c>
      <c r="BS214" s="18" t="s">
        <v>395</v>
      </c>
      <c r="BT214" s="18" t="s">
        <v>395</v>
      </c>
      <c r="BU214" s="18" t="s">
        <v>395</v>
      </c>
      <c r="BV214" s="18" t="s">
        <v>395</v>
      </c>
      <c r="BW214" s="18" t="s">
        <v>395</v>
      </c>
      <c r="BX214" s="18" t="s">
        <v>395</v>
      </c>
      <c r="BY214" s="18" t="s">
        <v>395</v>
      </c>
      <c r="BZ214" s="18" t="s">
        <v>395</v>
      </c>
      <c r="CA214" s="18" t="s">
        <v>395</v>
      </c>
      <c r="CB214" s="18" t="s">
        <v>395</v>
      </c>
      <c r="CC214" s="18" t="s">
        <v>395</v>
      </c>
      <c r="CD214" s="18" t="s">
        <v>395</v>
      </c>
      <c r="CE214" s="18" t="s">
        <v>395</v>
      </c>
      <c r="CF214" s="18" t="s">
        <v>395</v>
      </c>
      <c r="CG214" s="18" t="s">
        <v>395</v>
      </c>
      <c r="CH214" s="18" t="s">
        <v>395</v>
      </c>
      <c r="CI214" s="18" t="s">
        <v>395</v>
      </c>
      <c r="CJ214" s="18" t="s">
        <v>395</v>
      </c>
      <c r="CK214" s="18" t="s">
        <v>395</v>
      </c>
      <c r="CL214" s="18" t="s">
        <v>395</v>
      </c>
      <c r="CM214" s="18" t="s">
        <v>395</v>
      </c>
      <c r="CN214" s="18" t="s">
        <v>395</v>
      </c>
      <c r="CO214" s="18" t="s">
        <v>395</v>
      </c>
      <c r="CP214" s="18" t="s">
        <v>395</v>
      </c>
      <c r="CQ214" s="18" t="s">
        <v>395</v>
      </c>
      <c r="CR214" s="18" t="s">
        <v>395</v>
      </c>
      <c r="CS214" s="18" t="s">
        <v>395</v>
      </c>
      <c r="CT214" s="18" t="s">
        <v>395</v>
      </c>
      <c r="CU214" s="18" t="s">
        <v>395</v>
      </c>
      <c r="CV214" s="18" t="s">
        <v>395</v>
      </c>
      <c r="CW214" s="18" t="s">
        <v>395</v>
      </c>
      <c r="CX214" s="18" t="s">
        <v>395</v>
      </c>
      <c r="CY214" s="257" t="s">
        <v>395</v>
      </c>
    </row>
    <row r="215" spans="1:104" x14ac:dyDescent="0.3">
      <c r="B215" s="45"/>
      <c r="C215" s="45"/>
      <c r="D215" s="45"/>
      <c r="E215" s="46"/>
      <c r="F215" s="36"/>
      <c r="G215" s="47"/>
      <c r="H215" s="35"/>
      <c r="I215" s="129"/>
      <c r="J215" s="129"/>
      <c r="K215" s="12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D215" s="35"/>
      <c r="AF215" s="35"/>
      <c r="AH215" s="36"/>
      <c r="AL215" s="35"/>
      <c r="AM215" s="3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252"/>
    </row>
    <row r="216" spans="1:104" x14ac:dyDescent="0.3">
      <c r="B216" s="45"/>
      <c r="C216" s="45"/>
      <c r="D216" s="45"/>
      <c r="E216" s="46"/>
      <c r="F216" s="36"/>
      <c r="G216" s="47"/>
      <c r="H216" s="35"/>
      <c r="I216" s="129"/>
      <c r="J216" s="129"/>
      <c r="K216" s="12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D216" s="35"/>
      <c r="AF216" s="35"/>
      <c r="AH216" s="36"/>
      <c r="AL216" s="35"/>
      <c r="AM216" s="3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252"/>
    </row>
    <row r="217" spans="1:104" x14ac:dyDescent="0.3">
      <c r="B217" s="52"/>
      <c r="C217" s="52"/>
      <c r="D217" s="52"/>
      <c r="E217" s="96"/>
      <c r="F217" s="33"/>
      <c r="G217" s="47"/>
      <c r="H217" s="34"/>
      <c r="I217" s="130"/>
      <c r="J217" s="130"/>
      <c r="K217" s="12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D217" s="35"/>
      <c r="AF217" s="35"/>
      <c r="AH217" s="36"/>
      <c r="AL217" s="35"/>
      <c r="AM217" s="3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252"/>
    </row>
    <row r="218" spans="1:104" x14ac:dyDescent="0.3">
      <c r="B218" s="52"/>
      <c r="C218" s="52"/>
      <c r="D218" s="52"/>
      <c r="E218" s="96"/>
      <c r="F218" s="33"/>
      <c r="G218" s="47"/>
      <c r="H218" s="34"/>
      <c r="I218" s="130"/>
      <c r="J218" s="130"/>
      <c r="K218" s="12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D218" s="35"/>
      <c r="AF218" s="35"/>
      <c r="AH218" s="36"/>
      <c r="AL218" s="35"/>
      <c r="AM218" s="3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252"/>
    </row>
    <row r="219" spans="1:104" x14ac:dyDescent="0.3">
      <c r="B219" s="52"/>
      <c r="C219" s="52"/>
      <c r="D219" s="52"/>
      <c r="E219" s="96"/>
      <c r="F219" s="33"/>
      <c r="G219" s="47"/>
      <c r="H219" s="34"/>
      <c r="I219" s="130"/>
      <c r="J219" s="130"/>
      <c r="K219" s="12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D219" s="35"/>
      <c r="AH219" s="36"/>
      <c r="AL219" s="35"/>
      <c r="AM219" s="3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252"/>
    </row>
    <row r="220" spans="1:104" x14ac:dyDescent="0.3">
      <c r="B220" s="52"/>
      <c r="C220" s="52"/>
      <c r="D220" s="52"/>
      <c r="E220" s="96"/>
      <c r="F220" s="33"/>
      <c r="G220" s="47"/>
      <c r="H220" s="34"/>
      <c r="I220" s="127"/>
      <c r="J220" s="127"/>
      <c r="K220" s="12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D220" s="35"/>
      <c r="AG220" s="36"/>
      <c r="AH220" s="36"/>
      <c r="AL220" s="35"/>
      <c r="AM220" s="3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252"/>
    </row>
    <row r="221" spans="1:104" x14ac:dyDescent="0.3">
      <c r="B221" s="52"/>
      <c r="C221" s="52"/>
      <c r="D221" s="52"/>
      <c r="E221" s="96"/>
      <c r="F221" s="33"/>
      <c r="G221" s="47"/>
      <c r="H221" s="34"/>
      <c r="I221" s="127"/>
      <c r="J221" s="127"/>
      <c r="K221" s="12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D221" s="35"/>
      <c r="AG221" s="36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252"/>
    </row>
    <row r="222" spans="1:104" x14ac:dyDescent="0.3">
      <c r="B222" s="52"/>
      <c r="C222" s="52"/>
      <c r="D222" s="52"/>
      <c r="E222" s="96"/>
      <c r="F222" s="33"/>
      <c r="G222" s="47"/>
      <c r="H222" s="34"/>
      <c r="I222" s="127"/>
      <c r="J222" s="127"/>
      <c r="K222" s="12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D222" s="35"/>
      <c r="AG222" s="36"/>
      <c r="AH222" s="36"/>
      <c r="AL222" s="35"/>
      <c r="AM222" s="3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252"/>
    </row>
    <row r="223" spans="1:104" x14ac:dyDescent="0.3">
      <c r="B223" s="52"/>
      <c r="C223" s="52"/>
      <c r="D223" s="52"/>
      <c r="E223" s="96"/>
      <c r="F223" s="33"/>
      <c r="G223" s="47"/>
      <c r="H223" s="34"/>
      <c r="I223" s="127"/>
      <c r="J223" s="127"/>
      <c r="K223" s="12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D223" s="35"/>
      <c r="AG223" s="36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16"/>
      <c r="BD223" s="16"/>
      <c r="BE223" s="16"/>
      <c r="BF223" s="16"/>
      <c r="BG223" s="16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252"/>
      <c r="CZ223" s="5"/>
    </row>
    <row r="224" spans="1:104" x14ac:dyDescent="0.3">
      <c r="B224" s="52"/>
      <c r="C224" s="52"/>
      <c r="D224" s="52"/>
      <c r="E224" s="96"/>
      <c r="F224" s="33"/>
      <c r="G224" s="47"/>
      <c r="H224" s="34"/>
      <c r="I224" s="127"/>
      <c r="J224" s="127"/>
      <c r="K224" s="12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D224" s="35"/>
      <c r="AG224" s="36"/>
      <c r="AH224" s="258"/>
      <c r="AI224" s="258"/>
      <c r="AJ224" s="258"/>
      <c r="AK224" s="258"/>
      <c r="AL224" s="258"/>
      <c r="AM224" s="258"/>
      <c r="AN224" s="258"/>
      <c r="AO224" s="258"/>
      <c r="AP224" s="258"/>
      <c r="AQ224" s="258"/>
      <c r="AR224" s="258"/>
      <c r="AS224" s="258"/>
      <c r="AT224" s="258"/>
      <c r="AU224" s="258"/>
      <c r="AV224" s="258"/>
      <c r="AW224" s="258"/>
      <c r="AX224" s="258"/>
      <c r="AY224" s="258"/>
      <c r="AZ224" s="258"/>
      <c r="BA224" s="258"/>
      <c r="BB224" s="258"/>
      <c r="BC224" s="16"/>
      <c r="BD224" s="16"/>
      <c r="BE224" s="16"/>
      <c r="BF224" s="16"/>
      <c r="BG224" s="16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252"/>
      <c r="CZ224" s="5"/>
    </row>
    <row r="225" spans="2:104" x14ac:dyDescent="0.3">
      <c r="B225" s="52"/>
      <c r="C225" s="52"/>
      <c r="D225" s="52"/>
      <c r="E225" s="96"/>
      <c r="F225" s="33"/>
      <c r="G225" s="90"/>
      <c r="H225" s="34"/>
      <c r="I225" s="127"/>
      <c r="J225" s="127"/>
      <c r="K225" s="12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D225" s="35"/>
      <c r="AG225" s="83"/>
      <c r="AH225" s="56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16"/>
      <c r="BD225" s="16"/>
      <c r="BE225" s="16"/>
      <c r="BF225" s="16"/>
      <c r="BG225" s="16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252"/>
      <c r="CZ225" s="5"/>
    </row>
    <row r="226" spans="2:104" x14ac:dyDescent="0.3">
      <c r="B226" s="52"/>
      <c r="C226" s="52"/>
      <c r="D226" s="52"/>
      <c r="E226" s="96"/>
      <c r="F226" s="33"/>
      <c r="G226" s="90"/>
      <c r="H226" s="34"/>
      <c r="K226" s="12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D226" s="35"/>
      <c r="AG226" s="83"/>
      <c r="AH226" s="92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/>
      <c r="AZ226" s="91"/>
      <c r="BA226" s="91"/>
      <c r="BB226" s="91"/>
      <c r="BC226" s="16"/>
      <c r="BD226" s="16"/>
      <c r="BE226" s="16"/>
      <c r="BF226" s="16"/>
      <c r="BG226" s="16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252"/>
      <c r="CZ226" s="5"/>
    </row>
    <row r="227" spans="2:104" x14ac:dyDescent="0.3">
      <c r="B227" s="52"/>
      <c r="C227" s="52"/>
      <c r="D227" s="52"/>
      <c r="E227" s="96"/>
      <c r="F227" s="33"/>
      <c r="G227" s="90"/>
      <c r="H227" s="34"/>
      <c r="K227" s="12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D227" s="35"/>
      <c r="AG227" s="83"/>
      <c r="AH227" s="92"/>
      <c r="AI227" s="91"/>
      <c r="AJ227" s="91"/>
      <c r="AK227" s="91"/>
      <c r="AL227" s="91"/>
      <c r="AM227" s="91"/>
      <c r="AN227" s="56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16"/>
      <c r="BD227" s="16"/>
      <c r="BE227" s="16"/>
      <c r="BF227" s="16"/>
      <c r="BG227" s="16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252"/>
      <c r="CZ227" s="5"/>
    </row>
    <row r="228" spans="2:104" x14ac:dyDescent="0.3">
      <c r="B228" s="52"/>
      <c r="C228" s="52"/>
      <c r="D228" s="52"/>
      <c r="E228" s="96"/>
      <c r="F228" s="33"/>
      <c r="G228" s="90"/>
      <c r="H228" s="34"/>
      <c r="I228" s="127"/>
      <c r="J228" s="127"/>
      <c r="K228" s="12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D228" s="35"/>
      <c r="AG228" s="83"/>
      <c r="AH228" s="92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16"/>
      <c r="BD228" s="16"/>
      <c r="BE228" s="16"/>
      <c r="BF228" s="16"/>
      <c r="BG228" s="16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252"/>
      <c r="CZ228" s="5"/>
    </row>
    <row r="229" spans="2:104" x14ac:dyDescent="0.3">
      <c r="B229" s="52"/>
      <c r="C229" s="52"/>
      <c r="D229" s="52"/>
      <c r="E229" s="96"/>
      <c r="F229" s="33"/>
      <c r="G229" s="47"/>
      <c r="H229" s="34"/>
      <c r="I229" s="127"/>
      <c r="J229" s="127"/>
      <c r="K229" s="12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D229" s="35"/>
      <c r="AG229" s="83"/>
      <c r="AH229" s="92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  <c r="AZ229" s="91"/>
      <c r="BA229" s="91"/>
      <c r="BB229" s="91"/>
      <c r="BC229" s="16"/>
      <c r="BD229" s="16"/>
      <c r="BE229" s="16"/>
      <c r="BF229" s="16"/>
      <c r="BG229" s="16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252"/>
      <c r="CZ229" s="5"/>
    </row>
    <row r="230" spans="2:104" x14ac:dyDescent="0.3">
      <c r="B230" s="52"/>
      <c r="C230" s="52"/>
      <c r="D230" s="52"/>
      <c r="E230" s="96"/>
      <c r="F230" s="33"/>
      <c r="G230" s="90"/>
      <c r="H230" s="34"/>
      <c r="I230" s="127"/>
      <c r="J230" s="127"/>
      <c r="K230" s="12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D230" s="35"/>
      <c r="AG230" s="83"/>
      <c r="AH230" s="92"/>
      <c r="AI230" s="91"/>
      <c r="AJ230" s="91"/>
      <c r="AK230" s="91"/>
      <c r="AL230" s="91"/>
      <c r="AM230" s="91"/>
      <c r="AN230" s="56"/>
      <c r="AO230" s="91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  <c r="AZ230" s="91"/>
      <c r="BA230" s="91"/>
      <c r="BB230" s="91"/>
      <c r="BC230" s="16"/>
      <c r="BD230" s="16"/>
      <c r="BE230" s="16"/>
      <c r="BF230" s="16"/>
      <c r="BG230" s="16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252"/>
      <c r="CZ230" s="5"/>
    </row>
    <row r="231" spans="2:104" x14ac:dyDescent="0.3">
      <c r="B231" s="52"/>
      <c r="C231" s="52"/>
      <c r="D231" s="52"/>
      <c r="E231" s="96"/>
      <c r="F231" s="33"/>
      <c r="G231" s="90"/>
      <c r="H231" s="34"/>
      <c r="I231" s="127"/>
      <c r="J231" s="127"/>
      <c r="K231" s="12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D231" s="35"/>
      <c r="AG231" s="83"/>
      <c r="AH231" s="92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16"/>
      <c r="BD231" s="16"/>
      <c r="BE231" s="16"/>
      <c r="BF231" s="16"/>
      <c r="BG231" s="16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252"/>
      <c r="CZ231" s="5"/>
    </row>
    <row r="232" spans="2:104" x14ac:dyDescent="0.3">
      <c r="B232" s="52"/>
      <c r="C232" s="52"/>
      <c r="D232" s="52"/>
      <c r="E232" s="96"/>
      <c r="F232" s="33"/>
      <c r="G232" s="90"/>
      <c r="H232" s="34"/>
      <c r="I232" s="127"/>
      <c r="J232" s="127"/>
      <c r="K232" s="12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D232" s="35"/>
      <c r="AG232" s="83"/>
      <c r="AH232" s="92"/>
      <c r="AI232" s="91"/>
      <c r="AJ232" s="91"/>
      <c r="AK232" s="91"/>
      <c r="AL232" s="91"/>
      <c r="AM232" s="91"/>
      <c r="AN232" s="56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16"/>
      <c r="BD232" s="16"/>
      <c r="BE232" s="16"/>
      <c r="BF232" s="16"/>
      <c r="BG232" s="16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252"/>
      <c r="CZ232" s="5"/>
    </row>
    <row r="233" spans="2:104" x14ac:dyDescent="0.3">
      <c r="B233" s="52"/>
      <c r="C233" s="52"/>
      <c r="D233" s="52"/>
      <c r="E233" s="96"/>
      <c r="F233" s="33"/>
      <c r="G233" s="90"/>
      <c r="H233" s="34"/>
      <c r="I233" s="127"/>
      <c r="J233" s="127"/>
      <c r="K233" s="12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D233" s="35"/>
      <c r="AG233" s="83"/>
      <c r="AH233" s="92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16"/>
      <c r="BD233" s="16"/>
      <c r="BE233" s="16"/>
      <c r="BF233" s="16"/>
      <c r="BG233" s="16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252"/>
      <c r="CZ233" s="5"/>
    </row>
    <row r="234" spans="2:104" x14ac:dyDescent="0.3">
      <c r="B234" s="52"/>
      <c r="C234" s="52"/>
      <c r="D234" s="52"/>
      <c r="E234" s="96"/>
      <c r="F234" s="33"/>
      <c r="G234" s="47"/>
      <c r="H234" s="34"/>
      <c r="I234" s="127"/>
      <c r="J234" s="127"/>
      <c r="K234" s="12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D234" s="35"/>
      <c r="AG234" s="83"/>
      <c r="AH234" s="92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16"/>
      <c r="BD234" s="16"/>
      <c r="BE234" s="16"/>
      <c r="BF234" s="16"/>
      <c r="BG234" s="16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252"/>
      <c r="CZ234" s="5"/>
    </row>
    <row r="235" spans="2:104" x14ac:dyDescent="0.3">
      <c r="B235" s="52"/>
      <c r="C235" s="52"/>
      <c r="D235" s="52"/>
      <c r="E235" s="96"/>
      <c r="F235" s="33"/>
      <c r="H235" s="34"/>
      <c r="I235" s="131"/>
      <c r="J235" s="131"/>
      <c r="K235" s="12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D235" s="35"/>
      <c r="AG235" s="83"/>
      <c r="AH235" s="92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56"/>
      <c r="AT235" s="91"/>
      <c r="AU235" s="91"/>
      <c r="AV235" s="91"/>
      <c r="AW235" s="91"/>
      <c r="AX235" s="91"/>
      <c r="AY235" s="91"/>
      <c r="AZ235" s="91"/>
      <c r="BA235" s="91"/>
      <c r="BB235" s="91"/>
      <c r="BC235" s="16"/>
      <c r="BD235" s="16"/>
      <c r="BE235" s="16"/>
      <c r="BF235" s="16"/>
      <c r="BG235" s="16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252"/>
      <c r="CZ235" s="5"/>
    </row>
    <row r="236" spans="2:104" x14ac:dyDescent="0.3">
      <c r="B236" s="52"/>
      <c r="C236" s="52"/>
      <c r="D236" s="52"/>
      <c r="E236" s="96"/>
      <c r="F236" s="33"/>
      <c r="G236" s="90"/>
      <c r="H236" s="34"/>
      <c r="I236" s="127"/>
      <c r="J236" s="127"/>
      <c r="K236" s="12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D236" s="35"/>
      <c r="AG236" s="83"/>
      <c r="AH236" s="92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16"/>
      <c r="BD236" s="16"/>
      <c r="BE236" s="16"/>
      <c r="BF236" s="16"/>
      <c r="BG236" s="16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252"/>
      <c r="CZ236" s="5"/>
    </row>
    <row r="237" spans="2:104" x14ac:dyDescent="0.3">
      <c r="B237" s="52"/>
      <c r="C237" s="52"/>
      <c r="D237" s="52"/>
      <c r="E237" s="96"/>
      <c r="F237" s="33"/>
      <c r="G237" s="90"/>
      <c r="H237" s="34"/>
      <c r="I237" s="127"/>
      <c r="J237" s="127"/>
      <c r="K237" s="12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D237" s="35"/>
      <c r="AG237" s="83"/>
      <c r="AH237" s="56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16"/>
      <c r="BD237" s="16"/>
      <c r="BE237" s="16"/>
      <c r="BF237" s="16"/>
      <c r="BG237" s="16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252"/>
      <c r="CZ237" s="5"/>
    </row>
    <row r="238" spans="2:104" x14ac:dyDescent="0.3">
      <c r="B238" s="52"/>
      <c r="C238" s="52"/>
      <c r="D238" s="52"/>
      <c r="E238" s="96"/>
      <c r="F238" s="33"/>
      <c r="G238" s="90"/>
      <c r="H238" s="34"/>
      <c r="I238" s="127"/>
      <c r="J238" s="127"/>
      <c r="K238" s="12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D238" s="35"/>
      <c r="AG238" s="83"/>
      <c r="AH238" s="92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16"/>
      <c r="BD238" s="16"/>
      <c r="BE238" s="16"/>
      <c r="BF238" s="16"/>
      <c r="BG238" s="16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252"/>
      <c r="CZ238" s="5"/>
    </row>
    <row r="239" spans="2:104" x14ac:dyDescent="0.3">
      <c r="B239" s="52"/>
      <c r="C239" s="52"/>
      <c r="D239" s="52"/>
      <c r="E239" s="96"/>
      <c r="F239" s="33"/>
      <c r="G239" s="90"/>
      <c r="H239" s="34"/>
      <c r="I239" s="127"/>
      <c r="J239" s="127"/>
      <c r="K239" s="12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D239" s="35"/>
      <c r="AG239" s="83"/>
      <c r="AH239" s="92"/>
      <c r="AI239" s="91"/>
      <c r="AJ239" s="91"/>
      <c r="AK239" s="91"/>
      <c r="AL239" s="91"/>
      <c r="AM239" s="91"/>
      <c r="AN239" s="56"/>
      <c r="AO239" s="91"/>
      <c r="AP239" s="91"/>
      <c r="AQ239" s="56"/>
      <c r="AR239" s="91"/>
      <c r="AS239" s="56"/>
      <c r="AT239" s="56"/>
      <c r="AU239" s="56"/>
      <c r="AV239" s="91"/>
      <c r="AW239" s="91"/>
      <c r="AX239" s="91"/>
      <c r="AY239" s="91"/>
      <c r="AZ239" s="91"/>
      <c r="BA239" s="91"/>
      <c r="BB239" s="91"/>
      <c r="BC239" s="16"/>
      <c r="BD239" s="16"/>
      <c r="BE239" s="16"/>
      <c r="BF239" s="16"/>
      <c r="BG239" s="16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252"/>
      <c r="CZ239" s="5"/>
    </row>
    <row r="240" spans="2:104" x14ac:dyDescent="0.3">
      <c r="B240" s="52"/>
      <c r="C240" s="52"/>
      <c r="D240" s="52"/>
      <c r="E240" s="96"/>
      <c r="F240" s="33"/>
      <c r="G240" s="90"/>
      <c r="H240" s="34"/>
      <c r="I240" s="127"/>
      <c r="J240" s="127"/>
      <c r="K240" s="12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D240" s="35"/>
      <c r="AG240" s="36"/>
      <c r="AH240" s="36"/>
      <c r="AL240" s="35"/>
      <c r="AM240" s="3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252"/>
    </row>
    <row r="241" spans="2:103" x14ac:dyDescent="0.3">
      <c r="B241" s="52"/>
      <c r="C241" s="52"/>
      <c r="D241" s="52"/>
      <c r="E241" s="96"/>
      <c r="F241" s="33"/>
      <c r="G241" s="47"/>
      <c r="H241" s="34"/>
      <c r="I241" s="127"/>
      <c r="J241" s="127"/>
      <c r="K241" s="12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D241" s="35"/>
      <c r="AG241" s="36"/>
      <c r="AH241" s="36"/>
      <c r="AL241" s="35"/>
      <c r="AM241" s="3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252"/>
    </row>
    <row r="242" spans="2:103" x14ac:dyDescent="0.3">
      <c r="B242" s="52"/>
      <c r="C242" s="52"/>
      <c r="D242" s="52"/>
      <c r="E242" s="96"/>
      <c r="F242" s="33"/>
      <c r="G242" s="90"/>
      <c r="H242" s="34"/>
      <c r="I242" s="127"/>
      <c r="J242" s="127"/>
      <c r="K242" s="12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D242" s="35"/>
      <c r="AG242" s="36"/>
      <c r="AH242" s="36"/>
      <c r="AL242" s="35"/>
      <c r="AM242" s="3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252"/>
    </row>
    <row r="243" spans="2:103" x14ac:dyDescent="0.3">
      <c r="B243" s="52"/>
      <c r="C243" s="52"/>
      <c r="D243" s="52"/>
      <c r="E243" s="96"/>
      <c r="F243" s="33"/>
      <c r="G243" s="90"/>
      <c r="H243" s="34"/>
      <c r="I243" s="127"/>
      <c r="J243" s="127"/>
      <c r="K243" s="12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D243" s="35"/>
      <c r="AG243" s="36"/>
      <c r="AH243" s="36"/>
      <c r="AL243" s="35"/>
      <c r="AM243" s="3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252"/>
    </row>
    <row r="244" spans="2:103" x14ac:dyDescent="0.3">
      <c r="F244" s="33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252"/>
    </row>
    <row r="245" spans="2:103" x14ac:dyDescent="0.3">
      <c r="F245" s="33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252"/>
    </row>
    <row r="246" spans="2:103" x14ac:dyDescent="0.3">
      <c r="F246" s="33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252"/>
    </row>
    <row r="247" spans="2:103" x14ac:dyDescent="0.3">
      <c r="F247" s="33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252"/>
    </row>
    <row r="248" spans="2:103" x14ac:dyDescent="0.3">
      <c r="F248" s="33"/>
      <c r="BI248" s="7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252"/>
    </row>
    <row r="249" spans="2:103" x14ac:dyDescent="0.3">
      <c r="F249" s="33"/>
      <c r="BI249" s="7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252"/>
    </row>
    <row r="250" spans="2:103" x14ac:dyDescent="0.3">
      <c r="F250" s="33"/>
      <c r="BI250" s="7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252"/>
    </row>
    <row r="251" spans="2:103" x14ac:dyDescent="0.3">
      <c r="F251" s="33"/>
      <c r="BI251" s="7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252"/>
    </row>
    <row r="252" spans="2:103" x14ac:dyDescent="0.3">
      <c r="F252" s="33"/>
      <c r="BI252" s="7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252"/>
    </row>
    <row r="253" spans="2:103" x14ac:dyDescent="0.3">
      <c r="F253" s="33"/>
      <c r="BI253" s="7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252"/>
    </row>
    <row r="254" spans="2:103" x14ac:dyDescent="0.3">
      <c r="F254" s="33"/>
      <c r="BI254" s="7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252"/>
    </row>
    <row r="255" spans="2:103" x14ac:dyDescent="0.3">
      <c r="F255" s="33"/>
      <c r="BI255" s="7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252"/>
    </row>
    <row r="256" spans="2:103" x14ac:dyDescent="0.3">
      <c r="F256" s="33"/>
      <c r="BI256" s="7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252"/>
    </row>
    <row r="257" spans="6:103" x14ac:dyDescent="0.3">
      <c r="F257" s="33"/>
      <c r="BI257" s="7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252"/>
    </row>
    <row r="258" spans="6:103" x14ac:dyDescent="0.3">
      <c r="F258" s="33"/>
      <c r="BI258" s="7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252"/>
    </row>
    <row r="259" spans="6:103" x14ac:dyDescent="0.3">
      <c r="F259" s="33"/>
      <c r="BI259" s="75"/>
    </row>
    <row r="260" spans="6:103" x14ac:dyDescent="0.3">
      <c r="F260" s="33"/>
      <c r="BI260" s="75"/>
    </row>
    <row r="261" spans="6:103" x14ac:dyDescent="0.3">
      <c r="F261" s="33"/>
    </row>
    <row r="262" spans="6:103" x14ac:dyDescent="0.3">
      <c r="F262" s="33"/>
    </row>
    <row r="263" spans="6:103" x14ac:dyDescent="0.3">
      <c r="F263" s="33"/>
    </row>
    <row r="264" spans="6:103" x14ac:dyDescent="0.3">
      <c r="F264" s="33"/>
    </row>
    <row r="265" spans="6:103" x14ac:dyDescent="0.3">
      <c r="F265" s="33"/>
    </row>
    <row r="266" spans="6:103" x14ac:dyDescent="0.3">
      <c r="F266" s="33"/>
    </row>
    <row r="267" spans="6:103" x14ac:dyDescent="0.3">
      <c r="F267" s="33"/>
    </row>
    <row r="268" spans="6:103" x14ac:dyDescent="0.3">
      <c r="F268" s="33"/>
    </row>
    <row r="269" spans="6:103" x14ac:dyDescent="0.3">
      <c r="F269" s="33"/>
    </row>
    <row r="270" spans="6:103" x14ac:dyDescent="0.3">
      <c r="F270" s="33"/>
    </row>
    <row r="271" spans="6:103" x14ac:dyDescent="0.3">
      <c r="F271" s="33"/>
    </row>
    <row r="272" spans="6:103" x14ac:dyDescent="0.3">
      <c r="F272" s="33"/>
    </row>
    <row r="273" spans="6:6" x14ac:dyDescent="0.3">
      <c r="F273" s="33"/>
    </row>
    <row r="274" spans="6:6" x14ac:dyDescent="0.3">
      <c r="F274" s="33"/>
    </row>
    <row r="275" spans="6:6" x14ac:dyDescent="0.3">
      <c r="F275" s="33"/>
    </row>
    <row r="276" spans="6:6" x14ac:dyDescent="0.3">
      <c r="F276" s="33"/>
    </row>
    <row r="277" spans="6:6" x14ac:dyDescent="0.3">
      <c r="F277" s="33"/>
    </row>
    <row r="278" spans="6:6" x14ac:dyDescent="0.3">
      <c r="F278" s="33"/>
    </row>
    <row r="279" spans="6:6" x14ac:dyDescent="0.3">
      <c r="F279" s="33"/>
    </row>
    <row r="280" spans="6:6" x14ac:dyDescent="0.3">
      <c r="F280" s="33"/>
    </row>
    <row r="281" spans="6:6" x14ac:dyDescent="0.3">
      <c r="F281" s="33"/>
    </row>
    <row r="282" spans="6:6" x14ac:dyDescent="0.3">
      <c r="F282" s="33"/>
    </row>
    <row r="283" spans="6:6" x14ac:dyDescent="0.3">
      <c r="F283" s="33"/>
    </row>
    <row r="284" spans="6:6" x14ac:dyDescent="0.3">
      <c r="F284" s="33"/>
    </row>
    <row r="285" spans="6:6" x14ac:dyDescent="0.3">
      <c r="F285" s="33"/>
    </row>
    <row r="286" spans="6:6" x14ac:dyDescent="0.3">
      <c r="F286" s="33"/>
    </row>
    <row r="287" spans="6:6" x14ac:dyDescent="0.3">
      <c r="F287" s="33"/>
    </row>
    <row r="288" spans="6:6" x14ac:dyDescent="0.3">
      <c r="F288" s="33"/>
    </row>
    <row r="289" spans="6:6" x14ac:dyDescent="0.3">
      <c r="F289" s="33"/>
    </row>
    <row r="290" spans="6:6" x14ac:dyDescent="0.3">
      <c r="F290" s="33"/>
    </row>
    <row r="291" spans="6:6" x14ac:dyDescent="0.3">
      <c r="F291" s="33"/>
    </row>
    <row r="292" spans="6:6" x14ac:dyDescent="0.3">
      <c r="F292" s="33"/>
    </row>
    <row r="293" spans="6:6" x14ac:dyDescent="0.3">
      <c r="F293" s="33"/>
    </row>
    <row r="294" spans="6:6" x14ac:dyDescent="0.3">
      <c r="F294" s="33"/>
    </row>
    <row r="295" spans="6:6" x14ac:dyDescent="0.3">
      <c r="F295" s="33"/>
    </row>
    <row r="296" spans="6:6" x14ac:dyDescent="0.3">
      <c r="F296" s="33"/>
    </row>
    <row r="297" spans="6:6" x14ac:dyDescent="0.3">
      <c r="F297" s="33"/>
    </row>
    <row r="298" spans="6:6" x14ac:dyDescent="0.3">
      <c r="F298" s="33"/>
    </row>
    <row r="299" spans="6:6" x14ac:dyDescent="0.3">
      <c r="F299" s="33"/>
    </row>
    <row r="300" spans="6:6" x14ac:dyDescent="0.3">
      <c r="F300" s="33"/>
    </row>
    <row r="301" spans="6:6" x14ac:dyDescent="0.3">
      <c r="F301" s="33"/>
    </row>
    <row r="302" spans="6:6" x14ac:dyDescent="0.3">
      <c r="F302" s="33"/>
    </row>
    <row r="303" spans="6:6" x14ac:dyDescent="0.3">
      <c r="F303" s="33"/>
    </row>
    <row r="304" spans="6:6" x14ac:dyDescent="0.3">
      <c r="F304" s="33"/>
    </row>
    <row r="305" spans="6:6" x14ac:dyDescent="0.3">
      <c r="F305" s="33"/>
    </row>
    <row r="306" spans="6:6" x14ac:dyDescent="0.3">
      <c r="F306" s="33"/>
    </row>
    <row r="307" spans="6:6" x14ac:dyDescent="0.3">
      <c r="F307" s="33"/>
    </row>
    <row r="308" spans="6:6" x14ac:dyDescent="0.3">
      <c r="F308" s="33"/>
    </row>
    <row r="309" spans="6:6" x14ac:dyDescent="0.3">
      <c r="F309" s="33"/>
    </row>
    <row r="310" spans="6:6" x14ac:dyDescent="0.3">
      <c r="F310" s="33"/>
    </row>
    <row r="311" spans="6:6" x14ac:dyDescent="0.3">
      <c r="F311" s="33"/>
    </row>
    <row r="312" spans="6:6" x14ac:dyDescent="0.3">
      <c r="F312" s="33"/>
    </row>
    <row r="313" spans="6:6" x14ac:dyDescent="0.3">
      <c r="F313" s="33"/>
    </row>
    <row r="314" spans="6:6" x14ac:dyDescent="0.3">
      <c r="F314" s="33"/>
    </row>
    <row r="315" spans="6:6" x14ac:dyDescent="0.3">
      <c r="F315" s="33"/>
    </row>
    <row r="316" spans="6:6" x14ac:dyDescent="0.3">
      <c r="F316" s="33"/>
    </row>
    <row r="317" spans="6:6" x14ac:dyDescent="0.3">
      <c r="F317" s="33"/>
    </row>
    <row r="318" spans="6:6" x14ac:dyDescent="0.3">
      <c r="F318" s="33"/>
    </row>
    <row r="319" spans="6:6" x14ac:dyDescent="0.3">
      <c r="F319" s="33"/>
    </row>
    <row r="320" spans="6:6" x14ac:dyDescent="0.3">
      <c r="F320" s="33"/>
    </row>
    <row r="321" spans="6:6" x14ac:dyDescent="0.3">
      <c r="F321" s="33"/>
    </row>
    <row r="322" spans="6:6" x14ac:dyDescent="0.3">
      <c r="F322" s="33"/>
    </row>
    <row r="323" spans="6:6" x14ac:dyDescent="0.3">
      <c r="F323" s="33"/>
    </row>
    <row r="324" spans="6:6" x14ac:dyDescent="0.3">
      <c r="F324" s="33"/>
    </row>
    <row r="325" spans="6:6" x14ac:dyDescent="0.3">
      <c r="F325" s="33"/>
    </row>
    <row r="326" spans="6:6" x14ac:dyDescent="0.3">
      <c r="F326" s="33"/>
    </row>
    <row r="327" spans="6:6" x14ac:dyDescent="0.3">
      <c r="F327" s="33"/>
    </row>
    <row r="328" spans="6:6" x14ac:dyDescent="0.3">
      <c r="F328" s="33"/>
    </row>
    <row r="329" spans="6:6" x14ac:dyDescent="0.3">
      <c r="F329" s="33"/>
    </row>
    <row r="330" spans="6:6" x14ac:dyDescent="0.3">
      <c r="F330" s="33"/>
    </row>
    <row r="331" spans="6:6" x14ac:dyDescent="0.3">
      <c r="F331" s="33"/>
    </row>
  </sheetData>
  <conditionalFormatting sqref="A215:XFD1048576 CZ186:XFD214 DL48:XFD66 DC67:XFD98 DC1:XFD1 DC24:XFD47">
    <cfRule type="containsText" dxfId="6" priority="7" operator="containsText" text="&lt;">
      <formula>NOT(ISERROR(SEARCH("&lt;",A1)))</formula>
    </cfRule>
  </conditionalFormatting>
  <conditionalFormatting sqref="AR44:AR47 AI27 AL45:AM45 AL46:AL47 AL44 AL27 AT44:AW46 AV47:AW47 AI44:AI47 AK44:AK47 AX44:BB47 AJ45:AJ46">
    <cfRule type="beginsWith" dxfId="5" priority="5" operator="beginsWith" text="&lt;">
      <formula>LEFT(AI27,LEN("&lt;"))="&lt;"</formula>
    </cfRule>
    <cfRule type="cellIs" dxfId="4" priority="6" operator="greaterThan">
      <formula>0</formula>
    </cfRule>
  </conditionalFormatting>
  <conditionalFormatting sqref="AI7">
    <cfRule type="beginsWith" dxfId="3" priority="3" operator="beginsWith" text="&lt;">
      <formula>LEFT(AI7,LEN("&lt;"))="&lt;"</formula>
    </cfRule>
    <cfRule type="cellIs" dxfId="2" priority="4" operator="greaterThan">
      <formula>0</formula>
    </cfRule>
  </conditionalFormatting>
  <conditionalFormatting sqref="AL7">
    <cfRule type="beginsWith" dxfId="1" priority="1" operator="beginsWith" text="&lt;">
      <formula>LEFT(AL7,LEN("&lt;"))="&lt;"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miljögifter_fisk_2010-2024</vt:lpstr>
      <vt:lpstr>mg_fisk_2010-2024 (bearbetad)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Andersson</dc:creator>
  <cp:lastModifiedBy>Åsa Andersson</cp:lastModifiedBy>
  <dcterms:created xsi:type="dcterms:W3CDTF">2015-09-15T12:19:06Z</dcterms:created>
  <dcterms:modified xsi:type="dcterms:W3CDTF">2025-07-04T10:25:33Z</dcterms:modified>
</cp:coreProperties>
</file>